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290" firstSheet="5" activeTab="7"/>
  </bookViews>
  <sheets>
    <sheet name="Előlap" sheetId="1" r:id="rId1"/>
    <sheet name="Adatok" sheetId="2" r:id="rId2"/>
    <sheet name="kiválasztás Ps-Np-KQ-Dopt" sheetId="3" r:id="rId3"/>
    <sheet name="kiválasztás RT-T-KT-Nopt" sheetId="4" r:id="rId4"/>
    <sheet name="kiválasztás RT-T-KT-Dopt" sheetId="5" r:id="rId5"/>
    <sheet name="optimális csavar jellemzői" sheetId="6" r:id="rId6"/>
    <sheet name="kavitáció és szilárdság" sheetId="7" r:id="rId7"/>
    <sheet name="csavar rajza" sheetId="8" r:id="rId8"/>
  </sheets>
  <definedNames/>
  <calcPr fullCalcOnLoad="1"/>
</workbook>
</file>

<file path=xl/sharedStrings.xml><?xml version="1.0" encoding="utf-8"?>
<sst xmlns="http://schemas.openxmlformats.org/spreadsheetml/2006/main" count="619" uniqueCount="407">
  <si>
    <t>m</t>
  </si>
  <si>
    <t>Hajó fő méretei</t>
  </si>
  <si>
    <t>1/min</t>
  </si>
  <si>
    <r>
      <t>Választható főgép fordulatszámok:   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</si>
  <si>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V =</t>
  </si>
  <si>
    <t>csomó</t>
  </si>
  <si>
    <t>Sodortényező (Harvald diagram):</t>
  </si>
  <si>
    <t>Várható hajósebesség:</t>
  </si>
  <si>
    <t>B/L =</t>
  </si>
  <si>
    <t>Hajóhossz, L</t>
  </si>
  <si>
    <t>Főbordaszélesség, B</t>
  </si>
  <si>
    <t>Merülés, T</t>
  </si>
  <si>
    <r>
      <t>Hasábos teltség, C</t>
    </r>
    <r>
      <rPr>
        <vertAlign val="subscript"/>
        <sz val="10"/>
        <rFont val="Arial"/>
        <family val="2"/>
      </rPr>
      <t>B</t>
    </r>
  </si>
  <si>
    <r>
      <t>w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</si>
  <si>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E/T =</t>
  </si>
  <si>
    <t>D/L =</t>
  </si>
  <si>
    <r>
      <t>Δw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</si>
  <si>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Δw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</si>
  <si>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Δw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</si>
  <si>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</si>
  <si>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t>Sodortényező (Taylor):</t>
  </si>
  <si>
    <t>Választott sodortényező érték:</t>
  </si>
  <si>
    <t>Szívási tényező (Harvald diagr.):</t>
  </si>
  <si>
    <t>t =</t>
  </si>
  <si>
    <t>Szívási tényező (szokásos):</t>
  </si>
  <si>
    <t>Hajó ellenállása V sebességnél:</t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</si>
  <si>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</si>
  <si>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N</t>
  </si>
  <si>
    <t>Csavar-tolóerő V sebességnél:</t>
  </si>
  <si>
    <t>T =</t>
  </si>
  <si>
    <t>Léptékhatás tényező:</t>
  </si>
  <si>
    <t>c =</t>
  </si>
  <si>
    <t>Tolóerő tényező:</t>
  </si>
  <si>
    <r>
      <t>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</si>
  <si>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kg/m</t>
    </r>
    <r>
      <rPr>
        <vertAlign val="superscript"/>
        <sz val="10"/>
        <rFont val="Arial"/>
        <family val="2"/>
      </rPr>
      <t>3</t>
    </r>
  </si>
  <si>
    <t>0,65w</t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</si>
  <si>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/(1-t)</t>
    </r>
  </si>
  <si>
    <r>
      <t>T/(ρn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</si>
  <si>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Sebesség a csavar helyén:</t>
  </si>
  <si>
    <t>V(1-w)</t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</si>
  <si>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</si>
  <si>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m/sec</t>
  </si>
  <si>
    <t>Sebesség tényező:</t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</si>
  <si>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/(nD)</t>
    </r>
  </si>
  <si>
    <t>J =</t>
  </si>
  <si>
    <r>
      <t>N</t>
    </r>
    <r>
      <rPr>
        <vertAlign val="subscript"/>
        <sz val="10"/>
        <rFont val="Arial"/>
        <family val="2"/>
      </rPr>
      <t>p</t>
    </r>
  </si>
  <si>
    <r>
      <t>K</t>
    </r>
    <r>
      <rPr>
        <vertAlign val="subscript"/>
        <sz val="10"/>
        <rFont val="Arial"/>
        <family val="2"/>
      </rPr>
      <t>T</t>
    </r>
  </si>
  <si>
    <t>J</t>
  </si>
  <si>
    <t>P/D</t>
  </si>
  <si>
    <r>
      <t>10K</t>
    </r>
    <r>
      <rPr>
        <vertAlign val="subscript"/>
        <sz val="10"/>
        <rFont val="Arial"/>
        <family val="2"/>
      </rPr>
      <t>Q</t>
    </r>
  </si>
  <si>
    <r>
      <t>η</t>
    </r>
    <r>
      <rPr>
        <vertAlign val="subscript"/>
        <sz val="10"/>
        <rFont val="Arial"/>
        <family val="2"/>
      </rPr>
      <t>0</t>
    </r>
  </si>
  <si>
    <t>D</t>
  </si>
  <si>
    <t>A wageningeni ajánlás szerint:</t>
  </si>
  <si>
    <r>
      <t>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</si>
  <si>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0,95D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 xml:space="preserve"> =</t>
    </r>
  </si>
  <si>
    <t>Hidrosztatikus nyomás 0,7R-nél:</t>
  </si>
  <si>
    <t>Kavitációs ellenőrzés Burrill diamja (4.3.2.4.12 ábra) alapján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</si>
  <si>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</t>
    </r>
  </si>
  <si>
    <t>Telített vízgőz nyomás 20C°-nál:</t>
  </si>
  <si>
    <r>
      <t>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</t>
    </r>
  </si>
  <si>
    <t>Vízsebesség 0,7R-nél:</t>
  </si>
  <si>
    <t xml:space="preserve">V = </t>
  </si>
  <si>
    <t>Szögsebesség 0,7R-nél:</t>
  </si>
  <si>
    <r>
      <t>ω</t>
    </r>
    <r>
      <rPr>
        <sz val="10"/>
        <rFont val="Arial"/>
        <family val="0"/>
      </rPr>
      <t xml:space="preserve"> = </t>
    </r>
  </si>
  <si>
    <t>Dinamikus nyomás:</t>
  </si>
  <si>
    <t>q =</t>
  </si>
  <si>
    <t>Kavitációs szám 0,7R-nél:</t>
  </si>
  <si>
    <r>
      <t>(p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-p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)/q</t>
    </r>
  </si>
  <si>
    <t>Tengelyvonal a vízfelszín alatt:</t>
  </si>
  <si>
    <t>h =</t>
  </si>
  <si>
    <r>
      <t>p</t>
    </r>
    <r>
      <rPr>
        <vertAlign val="subscript"/>
        <sz val="10"/>
        <rFont val="Arial"/>
        <family val="2"/>
      </rPr>
      <t>atm</t>
    </r>
    <r>
      <rPr>
        <sz val="10"/>
        <rFont val="Arial"/>
        <family val="0"/>
      </rPr>
      <t>+(h-0,7R)ρg</t>
    </r>
  </si>
  <si>
    <t>Pa</t>
  </si>
  <si>
    <t>rad/sec</t>
  </si>
  <si>
    <r>
      <t>(V</t>
    </r>
    <r>
      <rPr>
        <vertAlign val="sub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+(0,7R</t>
    </r>
    <r>
      <rPr>
        <sz val="10"/>
        <rFont val="Arial"/>
        <family val="2"/>
      </rPr>
      <t>ω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1/2</t>
    </r>
  </si>
  <si>
    <r>
      <t>(1/2)ρV</t>
    </r>
    <r>
      <rPr>
        <vertAlign val="superscript"/>
        <sz val="10"/>
        <rFont val="Arial"/>
        <family val="2"/>
      </rPr>
      <t>2</t>
    </r>
  </si>
  <si>
    <t>Hajócsavar vetített felülete:</t>
  </si>
  <si>
    <r>
      <t>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</si>
  <si>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m</t>
    </r>
    <r>
      <rPr>
        <vertAlign val="superscript"/>
        <sz val="10"/>
        <rFont val="Arial"/>
        <family val="2"/>
      </rPr>
      <t>2</t>
    </r>
  </si>
  <si>
    <r>
      <t>T/(q</t>
    </r>
    <r>
      <rPr>
        <sz val="10"/>
        <rFont val="Arial"/>
        <family val="2"/>
      </rPr>
      <t>τ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</si>
  <si>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t>Hajócsavarkör felülete:</t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</si>
  <si>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</si>
  <si>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π</t>
    </r>
    <r>
      <rPr>
        <sz val="10"/>
        <rFont val="Arial"/>
        <family val="0"/>
      </rPr>
      <t>/4</t>
    </r>
  </si>
  <si>
    <t>Kifejtett-felület Taylor szerint:</t>
  </si>
  <si>
    <r>
      <t>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</si>
  <si>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/(1,067-0,229(P/D)</t>
    </r>
    <r>
      <rPr>
        <vertAlign val="subscript"/>
        <sz val="10"/>
        <rFont val="Arial"/>
        <family val="2"/>
      </rPr>
      <t>0,7R</t>
    </r>
    <r>
      <rPr>
        <sz val="10"/>
        <rFont val="Arial"/>
        <family val="2"/>
      </rPr>
      <t>)</t>
    </r>
  </si>
  <si>
    <t>Kifejtett-felület viszony:</t>
  </si>
  <si>
    <r>
      <t>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</si>
  <si>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Átmérő:</t>
  </si>
  <si>
    <t xml:space="preserve">D = </t>
  </si>
  <si>
    <t>Emelkedés:</t>
  </si>
  <si>
    <t>P =</t>
  </si>
  <si>
    <t>(P/D)D</t>
  </si>
  <si>
    <t>Emelkedésviszony:</t>
  </si>
  <si>
    <t>P/D =</t>
  </si>
  <si>
    <t>Fordulatszám:</t>
  </si>
  <si>
    <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</si>
  <si>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Tolóerő:</t>
  </si>
  <si>
    <t>Q =</t>
  </si>
  <si>
    <t>Nm</t>
  </si>
  <si>
    <t>Nyíltvízi nyomaték:</t>
  </si>
  <si>
    <t>Q' =</t>
  </si>
  <si>
    <r>
      <t>K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>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5</t>
    </r>
  </si>
  <si>
    <t>Forgási hatásfok:</t>
  </si>
  <si>
    <t>egycsavarosnál szokásos</t>
  </si>
  <si>
    <r>
      <t>η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</si>
  <si>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t>Hajótest mögötti nyomaték:</t>
  </si>
  <si>
    <r>
      <t>Q'/η</t>
    </r>
    <r>
      <rPr>
        <vertAlign val="subscript"/>
        <sz val="10"/>
        <rFont val="Arial"/>
        <family val="2"/>
      </rPr>
      <t>R</t>
    </r>
  </si>
  <si>
    <t>Csavar által felvett teljesítmény:</t>
  </si>
  <si>
    <r>
      <t>2</t>
    </r>
    <r>
      <rPr>
        <sz val="10"/>
        <rFont val="Arial"/>
        <family val="2"/>
      </rPr>
      <t>πNp/60(1+c)</t>
    </r>
  </si>
  <si>
    <r>
      <t>Q(2</t>
    </r>
    <r>
      <rPr>
        <sz val="10"/>
        <rFont val="Arial"/>
        <family val="2"/>
      </rPr>
      <t>π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/60)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</si>
  <si>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</si>
  <si>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W, Nm/sec</t>
  </si>
  <si>
    <t>Tengely mechanikai hatásfoka:</t>
  </si>
  <si>
    <r>
      <t>η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</si>
  <si>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</si>
  <si>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/η</t>
    </r>
    <r>
      <rPr>
        <vertAlign val="subscript"/>
        <sz val="10"/>
        <rFont val="Arial"/>
        <family val="2"/>
      </rPr>
      <t>m</t>
    </r>
  </si>
  <si>
    <r>
      <t>diagramból (K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, J)</t>
    </r>
  </si>
  <si>
    <r>
      <t>T/(</t>
    </r>
    <r>
      <rPr>
        <sz val="10"/>
        <rFont val="Arial"/>
        <family val="0"/>
      </rPr>
      <t>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</si>
  <si>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diagramból (P/D, J)</t>
  </si>
  <si>
    <r>
      <t>K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</t>
    </r>
  </si>
  <si>
    <t>Ellenállás-számítás eredménye</t>
  </si>
  <si>
    <t>Hajósebesség, V      csomó</t>
  </si>
  <si>
    <t>W</t>
  </si>
  <si>
    <t>Csavarra jutó teljesítmény:</t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</si>
  <si>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m</t>
    </r>
  </si>
  <si>
    <t>Csavarra jutó nyomaték: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</si>
  <si>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/(2</t>
    </r>
    <r>
      <rPr>
        <sz val="10"/>
        <rFont val="Arial"/>
        <family val="2"/>
      </rPr>
      <t>π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/60)</t>
    </r>
  </si>
  <si>
    <t>Nyíltvízi nyomaték</t>
  </si>
  <si>
    <t xml:space="preserve">Q' = </t>
  </si>
  <si>
    <r>
      <t>η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Q</t>
    </r>
  </si>
  <si>
    <r>
      <t>n = 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/(60(1+c))</t>
    </r>
  </si>
  <si>
    <r>
      <t>Q'/(ρn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</si>
  <si>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Max.csavarátmérő, D</t>
  </si>
  <si>
    <t>Csavar mag.alaptól, E</t>
  </si>
  <si>
    <t>Hajózóút víz sűrűsége:</t>
  </si>
  <si>
    <t>ρ =</t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</si>
  <si>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/(1-t)</t>
    </r>
  </si>
  <si>
    <t>Optimális átmérő:</t>
  </si>
  <si>
    <r>
      <t>D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 xml:space="preserve"> =</t>
    </r>
  </si>
  <si>
    <t>Hajócsavar átmérője:</t>
  </si>
  <si>
    <t>D =</t>
  </si>
  <si>
    <t>Hajósebesség, csomó</t>
  </si>
  <si>
    <t>Sebességtényező, J</t>
  </si>
  <si>
    <r>
      <t>Tolóerő tényező, K</t>
    </r>
    <r>
      <rPr>
        <vertAlign val="subscript"/>
        <sz val="10"/>
        <rFont val="Arial"/>
        <family val="2"/>
      </rPr>
      <t>T</t>
    </r>
  </si>
  <si>
    <r>
      <t>Nyomaték tényező, K</t>
    </r>
    <r>
      <rPr>
        <vertAlign val="subscript"/>
        <sz val="9"/>
        <rFont val="Arial"/>
        <family val="2"/>
      </rPr>
      <t>Q</t>
    </r>
  </si>
  <si>
    <t>Jelleggörbe</t>
  </si>
  <si>
    <t>Tolóerő, T, N</t>
  </si>
  <si>
    <r>
      <t>Teljes ellenállás, 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  N</t>
    </r>
  </si>
  <si>
    <r>
      <t>η</t>
    </r>
    <r>
      <rPr>
        <vertAlign val="subscript"/>
        <sz val="10"/>
        <rFont val="Arial"/>
        <family val="2"/>
      </rPr>
      <t>0 =</t>
    </r>
  </si>
  <si>
    <t>Testhatásfok:</t>
  </si>
  <si>
    <r>
      <t>η</t>
    </r>
    <r>
      <rPr>
        <vertAlign val="subscript"/>
        <sz val="10"/>
        <rFont val="Arial"/>
        <family val="2"/>
      </rPr>
      <t>H =</t>
    </r>
  </si>
  <si>
    <t>(1-t)/(1-w)</t>
  </si>
  <si>
    <t>Propulziós tényező:</t>
  </si>
  <si>
    <r>
      <t>η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H</t>
    </r>
  </si>
  <si>
    <t>Csavar becsült nyíltvízi hatásfoka:</t>
  </si>
  <si>
    <r>
      <t>η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B</t>
    </r>
  </si>
  <si>
    <r>
      <t>P</t>
    </r>
    <r>
      <rPr>
        <vertAlign val="subscript"/>
        <sz val="10"/>
        <rFont val="Arial"/>
        <family val="2"/>
      </rPr>
      <t>BE</t>
    </r>
  </si>
  <si>
    <r>
      <t>P</t>
    </r>
    <r>
      <rPr>
        <vertAlign val="subscript"/>
        <sz val="10"/>
        <rFont val="Arial"/>
        <family val="2"/>
      </rPr>
      <t>BE</t>
    </r>
    <r>
      <rPr>
        <sz val="10"/>
        <rFont val="Arial"/>
        <family val="0"/>
      </rPr>
      <t>/V</t>
    </r>
  </si>
  <si>
    <t>Sebességtényező:</t>
  </si>
  <si>
    <t>V(1-w)/(nD</t>
  </si>
  <si>
    <t>Tolóerő a digramból V-nél:</t>
  </si>
  <si>
    <r>
      <t>T</t>
    </r>
    <r>
      <rPr>
        <vertAlign val="subscript"/>
        <sz val="10"/>
        <rFont val="Arial"/>
        <family val="2"/>
      </rPr>
      <t>ü</t>
    </r>
    <r>
      <rPr>
        <sz val="10"/>
        <rFont val="Arial"/>
        <family val="0"/>
      </rPr>
      <t xml:space="preserve"> =</t>
    </r>
  </si>
  <si>
    <t>diagramból</t>
  </si>
  <si>
    <t>Tolóerő terhelési tényező 2,5%nál:</t>
  </si>
  <si>
    <t>Tolóerő terhelési tényező 5%-nál:</t>
  </si>
  <si>
    <r>
      <t>τ(tau)</t>
    </r>
    <r>
      <rPr>
        <vertAlign val="subscript"/>
        <sz val="10"/>
        <rFont val="Arial"/>
        <family val="2"/>
      </rPr>
      <t>c2,5</t>
    </r>
    <r>
      <rPr>
        <sz val="10"/>
        <rFont val="Arial"/>
        <family val="0"/>
      </rPr>
      <t xml:space="preserve"> =</t>
    </r>
  </si>
  <si>
    <r>
      <t>τ</t>
    </r>
    <r>
      <rPr>
        <vertAlign val="subscript"/>
        <sz val="10"/>
        <rFont val="Arial"/>
        <family val="2"/>
      </rPr>
      <t>c5</t>
    </r>
    <r>
      <rPr>
        <sz val="10"/>
        <rFont val="Arial"/>
        <family val="0"/>
      </rPr>
      <t xml:space="preserve"> =</t>
    </r>
  </si>
  <si>
    <t>r/R</t>
  </si>
  <si>
    <t>z = 3:</t>
  </si>
  <si>
    <t>z = 4:</t>
  </si>
  <si>
    <t>z = 5:</t>
  </si>
  <si>
    <r>
      <t>0,7396(A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)D</t>
    </r>
  </si>
  <si>
    <r>
      <t>Szárnyszelvény-hosszak c</t>
    </r>
    <r>
      <rPr>
        <vertAlign val="subscript"/>
        <sz val="10"/>
        <rFont val="Arial"/>
        <family val="2"/>
      </rPr>
      <t>0,6</t>
    </r>
    <r>
      <rPr>
        <sz val="10"/>
        <rFont val="Arial"/>
        <family val="0"/>
      </rPr>
      <t xml:space="preserve"> %-ában</t>
    </r>
  </si>
  <si>
    <t>alkotótól</t>
  </si>
  <si>
    <t>kilépőélig</t>
  </si>
  <si>
    <t>belépőélig</t>
  </si>
  <si>
    <t>teljes</t>
  </si>
  <si>
    <t>hossz</t>
  </si>
  <si>
    <r>
      <t>c</t>
    </r>
    <r>
      <rPr>
        <vertAlign val="subscript"/>
        <sz val="10"/>
        <rFont val="Arial"/>
        <family val="2"/>
      </rPr>
      <t>rt</t>
    </r>
  </si>
  <si>
    <r>
      <t>c</t>
    </r>
    <r>
      <rPr>
        <vertAlign val="subscript"/>
        <sz val="10"/>
        <rFont val="Arial"/>
        <family val="2"/>
      </rPr>
      <t>rtotal</t>
    </r>
  </si>
  <si>
    <r>
      <t>c</t>
    </r>
    <r>
      <rPr>
        <vertAlign val="subscript"/>
        <sz val="10"/>
        <rFont val="Arial"/>
        <family val="2"/>
      </rPr>
      <t>rl</t>
    </r>
  </si>
  <si>
    <t>max.vast.</t>
  </si>
  <si>
    <t>helye a</t>
  </si>
  <si>
    <t>belépőéltől</t>
  </si>
  <si>
    <r>
      <t>c</t>
    </r>
    <r>
      <rPr>
        <vertAlign val="subscript"/>
        <sz val="10"/>
        <rFont val="Arial"/>
        <family val="2"/>
      </rPr>
      <t>rtotal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0,6</t>
    </r>
  </si>
  <si>
    <r>
      <t>c</t>
    </r>
    <r>
      <rPr>
        <vertAlign val="subscript"/>
        <sz val="10"/>
        <rFont val="Arial"/>
        <family val="2"/>
      </rPr>
      <t>maxt/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rtotal</t>
    </r>
  </si>
  <si>
    <t>Optimális hajócsavar szárny-koordinátái</t>
  </si>
  <si>
    <t>Szárnyszelvény-hosszak mm-ben</t>
  </si>
  <si>
    <t>A szárny alakja a tolóoldal felől</t>
  </si>
  <si>
    <t>z = 3</t>
  </si>
  <si>
    <t>z = 4</t>
  </si>
  <si>
    <t>z = 5</t>
  </si>
  <si>
    <t>Szárnyszelvények maximális vastagsága a sugár mentén az átmérő %-ában</t>
  </si>
  <si>
    <t>A hajócsavar agy és szárny rajza tengelymetszetben</t>
  </si>
  <si>
    <t>A módosított B sorozatú hajócsavarok szárnyszelvényeinek megrajzolására szolgáló koordináták</t>
  </si>
  <si>
    <t>A táblázatban szereplő koordináták az adott szelvény hosszára és max. vastagságára értendők</t>
  </si>
  <si>
    <t>A max. vastagság vonalától a kilépőélig</t>
  </si>
  <si>
    <t>A max vastagság vonalától a belépőélig</t>
  </si>
  <si>
    <t>A hátoldal ordinátái</t>
  </si>
  <si>
    <t>A tolóoldal ordinátái</t>
  </si>
  <si>
    <t>helye az</t>
  </si>
  <si>
    <r>
      <t>c</t>
    </r>
    <r>
      <rPr>
        <vertAlign val="subscript"/>
        <sz val="10"/>
        <rFont val="Arial"/>
        <family val="2"/>
      </rPr>
      <t>maxtl</t>
    </r>
  </si>
  <si>
    <r>
      <t>c</t>
    </r>
    <r>
      <rPr>
        <vertAlign val="subscript"/>
        <sz val="10"/>
        <rFont val="Arial"/>
        <family val="2"/>
      </rPr>
      <t>maxtg</t>
    </r>
  </si>
  <si>
    <t>Nyújtott szárnyszelvények</t>
  </si>
  <si>
    <t>0,95R</t>
  </si>
  <si>
    <t>0,9R</t>
  </si>
  <si>
    <t>0,8R</t>
  </si>
  <si>
    <t>0,7R</t>
  </si>
  <si>
    <t>0,6R</t>
  </si>
  <si>
    <t>0,5R</t>
  </si>
  <si>
    <t>0,4R</t>
  </si>
  <si>
    <t>0,3R</t>
  </si>
  <si>
    <t>0,2R</t>
  </si>
  <si>
    <t>Kifejtett felület</t>
  </si>
  <si>
    <t>Sugár</t>
  </si>
  <si>
    <t>Kilépő húr</t>
  </si>
  <si>
    <t>Kilépő szög</t>
  </si>
  <si>
    <t>Belépő húr</t>
  </si>
  <si>
    <t>Belépő szög</t>
  </si>
  <si>
    <t>Vetített felület</t>
  </si>
  <si>
    <t>Emelkedés</t>
  </si>
  <si>
    <t>mm</t>
  </si>
  <si>
    <t>(r/R)R</t>
  </si>
  <si>
    <r>
      <t>P</t>
    </r>
    <r>
      <rPr>
        <vertAlign val="subscript"/>
        <sz val="10"/>
        <rFont val="Arial"/>
        <family val="2"/>
      </rPr>
      <t>r</t>
    </r>
  </si>
  <si>
    <t>°</t>
  </si>
  <si>
    <r>
      <t>ψ</t>
    </r>
    <r>
      <rPr>
        <vertAlign val="subscript"/>
        <sz val="10"/>
        <rFont val="Arial"/>
        <family val="2"/>
      </rPr>
      <t>rt</t>
    </r>
  </si>
  <si>
    <r>
      <t>ψ</t>
    </r>
    <r>
      <rPr>
        <vertAlign val="subscript"/>
        <sz val="10"/>
        <rFont val="Arial"/>
        <family val="2"/>
      </rPr>
      <t>rl</t>
    </r>
  </si>
  <si>
    <t>Kilépőélig</t>
  </si>
  <si>
    <t>Belépőélig</t>
  </si>
  <si>
    <t>Teljes húr</t>
  </si>
  <si>
    <r>
      <t>Kilépőélig, δ</t>
    </r>
    <r>
      <rPr>
        <vertAlign val="subscript"/>
        <sz val="8"/>
        <rFont val="Arial"/>
        <family val="0"/>
      </rPr>
      <t>rt</t>
    </r>
  </si>
  <si>
    <r>
      <t>Belépőélig, δr</t>
    </r>
    <r>
      <rPr>
        <vertAlign val="subscript"/>
        <sz val="7"/>
        <rFont val="Arial"/>
        <family val="0"/>
      </rPr>
      <t>l</t>
    </r>
  </si>
  <si>
    <t>Tolóoldal felől</t>
  </si>
  <si>
    <t>Tengelyre merőlegesen</t>
  </si>
  <si>
    <r>
      <t>arctg(P</t>
    </r>
    <r>
      <rPr>
        <vertAlign val="subscript"/>
        <sz val="5"/>
        <rFont val="Arial"/>
        <family val="0"/>
      </rPr>
      <t>r</t>
    </r>
    <r>
      <rPr>
        <sz val="5"/>
        <rFont val="Arial"/>
        <family val="0"/>
      </rPr>
      <t>/(2rπ))(180/π)</t>
    </r>
  </si>
  <si>
    <r>
      <t>δ</t>
    </r>
    <r>
      <rPr>
        <vertAlign val="subscript"/>
        <sz val="10"/>
        <rFont val="Arial"/>
        <family val="0"/>
      </rPr>
      <t>rt</t>
    </r>
    <r>
      <rPr>
        <sz val="10"/>
        <rFont val="Arial"/>
        <family val="0"/>
      </rPr>
      <t>cosφ</t>
    </r>
  </si>
  <si>
    <t>φ, °</t>
  </si>
  <si>
    <r>
      <t>δ</t>
    </r>
    <r>
      <rPr>
        <vertAlign val="subscript"/>
        <sz val="10"/>
        <rFont val="Arial"/>
        <family val="0"/>
      </rPr>
      <t>rl</t>
    </r>
    <r>
      <rPr>
        <sz val="10"/>
        <rFont val="Arial"/>
        <family val="0"/>
      </rPr>
      <t>cosφ</t>
    </r>
  </si>
  <si>
    <r>
      <t>δ</t>
    </r>
    <r>
      <rPr>
        <vertAlign val="subscript"/>
        <sz val="10"/>
        <rFont val="Arial"/>
        <family val="0"/>
      </rPr>
      <t>rt</t>
    </r>
    <r>
      <rPr>
        <sz val="10"/>
        <rFont val="Arial"/>
        <family val="0"/>
      </rPr>
      <t>sinφ</t>
    </r>
  </si>
  <si>
    <r>
      <t>δ</t>
    </r>
    <r>
      <rPr>
        <vertAlign val="subscript"/>
        <sz val="10"/>
        <rFont val="Arial"/>
        <family val="0"/>
      </rPr>
      <t>rl</t>
    </r>
    <r>
      <rPr>
        <sz val="10"/>
        <rFont val="Arial"/>
        <family val="0"/>
      </rPr>
      <t>sinφ</t>
    </r>
  </si>
  <si>
    <t>A tengelyre merőleges szárnykontúrt korrigálni kell a tolóoldal domborulata miatt:</t>
  </si>
  <si>
    <t>kilépőélnél az alkotó felé a 100%-hoz tartozó tolóoldal ordináta szorozva cosφ,</t>
  </si>
  <si>
    <t>belépőélnél az alkotóval ellentétetes irányban a 100% ordináta szorozva cosφ.</t>
  </si>
  <si>
    <r>
      <t>Ív sugara, R</t>
    </r>
    <r>
      <rPr>
        <vertAlign val="subscript"/>
        <sz val="8"/>
        <rFont val="Arial"/>
        <family val="0"/>
      </rPr>
      <t>e</t>
    </r>
  </si>
  <si>
    <r>
      <t>P</t>
    </r>
    <r>
      <rPr>
        <vertAlign val="subscript"/>
        <sz val="7"/>
        <rFont val="Arial"/>
        <family val="0"/>
      </rPr>
      <t>r</t>
    </r>
    <r>
      <rPr>
        <sz val="7"/>
        <rFont val="Arial"/>
        <family val="0"/>
      </rPr>
      <t>/(2πsinφcosφ)</t>
    </r>
  </si>
  <si>
    <r>
      <t>R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sin(ψ</t>
    </r>
    <r>
      <rPr>
        <vertAlign val="subscript"/>
        <sz val="8"/>
        <rFont val="Arial"/>
        <family val="2"/>
      </rPr>
      <t>rt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</si>
  <si>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sin(ψ</t>
    </r>
    <r>
      <rPr>
        <vertAlign val="subscript"/>
        <sz val="8"/>
        <rFont val="Arial"/>
        <family val="2"/>
      </rPr>
      <t>rl</t>
    </r>
    <r>
      <rPr>
        <sz val="8"/>
        <rFont val="Arial"/>
        <family val="2"/>
      </rPr>
      <t>)</t>
    </r>
  </si>
  <si>
    <t>ahol</t>
  </si>
  <si>
    <t>Z = a hajócsavar szárnyszáma</t>
  </si>
  <si>
    <t>Romsom formulája wageningeni B csavarok igénybevételére (ld. BBBZ-kódex 4.3.2.4.2 fejezet)</t>
  </si>
  <si>
    <t>t és c = a vizsgált szárnymetszet vastagsága [cm] és húrhossza [m]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</si>
  <si>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a hajócsavarra jutó tengelyteljesítmény [LE]</t>
    </r>
  </si>
  <si>
    <r>
      <t>α = konstans tényező; α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0,085 nyomó α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0,0975 húzó</t>
    </r>
  </si>
  <si>
    <r>
      <t>P</t>
    </r>
    <r>
      <rPr>
        <vertAlign val="subscript"/>
        <sz val="10"/>
        <rFont val="Arial"/>
        <family val="2"/>
      </rPr>
      <t>0,2</t>
    </r>
    <r>
      <rPr>
        <sz val="10"/>
        <rFont val="Arial"/>
        <family val="0"/>
      </rPr>
      <t>/D = a 0,2R szelvénynél levő emelkedésviszony</t>
    </r>
  </si>
  <si>
    <r>
      <t>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66,7P</t>
    </r>
    <r>
      <rPr>
        <vertAlign val="subscript"/>
        <sz val="10"/>
        <rFont val="Arial"/>
        <family val="2"/>
      </rPr>
      <t>0,2</t>
    </r>
    <r>
      <rPr>
        <sz val="10"/>
        <rFont val="Arial"/>
        <family val="0"/>
      </rPr>
      <t>/D</t>
    </r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</si>
  <si>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a 4.3.2.4.2.1.1 táblázatból kapott tényező (ld.BBBZ-kódex 4.3.2.4.2 fej.)</t>
    </r>
  </si>
  <si>
    <t>X = a 4.3.2.4.2.1.2 táblázatból kapott tényező (ld. BBBZ-kódex 4.3.2.4.2 fej.)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</si>
  <si>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</t>
    </r>
  </si>
  <si>
    <t>=</t>
  </si>
  <si>
    <t>LE</t>
  </si>
  <si>
    <t>Z =</t>
  </si>
  <si>
    <t>N =</t>
  </si>
  <si>
    <t>N = a hajócsavar fordulatszáma [1/min]</t>
  </si>
  <si>
    <r>
      <t>δ és η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a B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-δ diagramból (ld.BBBZ-kódex 4.3.2.3. fej.4.3.2.3.1.1.1.1 ábra)</t>
    </r>
  </si>
  <si>
    <r>
      <t>δ</t>
    </r>
    <r>
      <rPr>
        <sz val="10"/>
        <rFont val="Arial"/>
        <family val="0"/>
      </rPr>
      <t xml:space="preserve"> =</t>
    </r>
  </si>
  <si>
    <r>
      <t>ND/V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=</t>
    </r>
  </si>
  <si>
    <r>
      <t>B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</si>
  <si>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NP</t>
    </r>
    <r>
      <rPr>
        <vertAlign val="superscript"/>
        <sz val="9"/>
        <rFont val="Arial"/>
        <family val="0"/>
      </rPr>
      <t>0,5</t>
    </r>
    <r>
      <rPr>
        <sz val="9"/>
        <rFont val="Arial"/>
        <family val="0"/>
      </rPr>
      <t>/V</t>
    </r>
    <r>
      <rPr>
        <vertAlign val="subscript"/>
        <sz val="9"/>
        <rFont val="Arial"/>
        <family val="0"/>
      </rPr>
      <t>A</t>
    </r>
    <r>
      <rPr>
        <vertAlign val="superscript"/>
        <sz val="9"/>
        <rFont val="Arial"/>
        <family val="0"/>
      </rPr>
      <t xml:space="preserve">2,5 </t>
    </r>
    <r>
      <rPr>
        <sz val="9"/>
        <rFont val="Arial"/>
        <family val="0"/>
      </rPr>
      <t>=</t>
    </r>
  </si>
  <si>
    <t>HP</t>
  </si>
  <si>
    <t>cm</t>
  </si>
  <si>
    <t>Szilárdsági ellenőrzés (0,2R szelvényben)</t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</si>
  <si>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</si>
  <si>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X =</t>
  </si>
  <si>
    <r>
      <t>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</si>
  <si>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σ = (P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/ZN)(1/α)(C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+δη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)/t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c)X [dN/cm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</si>
  <si>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σ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</t>
    </r>
  </si>
  <si>
    <r>
      <t>dN/cm</t>
    </r>
    <r>
      <rPr>
        <vertAlign val="superscript"/>
        <sz val="10"/>
        <rFont val="Arial"/>
        <family val="2"/>
      </rPr>
      <t>2</t>
    </r>
  </si>
  <si>
    <r>
      <t>σ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</si>
  <si>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Romsom formulája B csavarok centrifugális igénybevételére (ld. BBBZ-kódex 4.3.2.4.2 fejezet)</t>
  </si>
  <si>
    <r>
      <t>σ</t>
    </r>
    <r>
      <rPr>
        <vertAlign val="subscript"/>
        <sz val="10"/>
        <rFont val="Arial"/>
        <family val="2"/>
      </rPr>
      <t>HC</t>
    </r>
    <r>
      <rPr>
        <sz val="10"/>
        <rFont val="Arial"/>
        <family val="0"/>
      </rPr>
      <t xml:space="preserve"> = 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/α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)+0,58)</t>
    </r>
  </si>
  <si>
    <r>
      <t>σ</t>
    </r>
    <r>
      <rPr>
        <vertAlign val="subscript"/>
        <sz val="10"/>
        <rFont val="Arial"/>
        <family val="2"/>
      </rPr>
      <t>NC</t>
    </r>
    <r>
      <rPr>
        <sz val="10"/>
        <rFont val="Arial"/>
        <family val="0"/>
      </rPr>
      <t xml:space="preserve"> = 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/α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)-0,58)</t>
    </r>
  </si>
  <si>
    <t>n = N/100</t>
  </si>
  <si>
    <t>D = a hajócsavar átmérője [m]</t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</si>
  <si>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 4.3.2.4.2.1.1 táblázatból kapott tényező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</si>
  <si>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 4.3.2.4.2.1.2 táblázatból kapott tényező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</si>
  <si>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</si>
  <si>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</si>
  <si>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HC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</si>
  <si>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NC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</si>
  <si>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Hössz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</si>
  <si>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Nössz</t>
    </r>
    <r>
      <rPr>
        <sz val="10"/>
        <rFont val="Arial"/>
        <family val="0"/>
      </rPr>
      <t xml:space="preserve"> =</t>
    </r>
  </si>
  <si>
    <t>Szilárdsági ellenőrzés (0,6R szelvényben)</t>
  </si>
  <si>
    <t>Egy szárny súlya:</t>
  </si>
  <si>
    <r>
      <t>A</t>
    </r>
    <r>
      <rPr>
        <vertAlign val="subscript"/>
        <sz val="10"/>
        <rFont val="Arial"/>
        <family val="2"/>
      </rPr>
      <t>profil</t>
    </r>
    <r>
      <rPr>
        <sz val="10"/>
        <rFont val="Arial"/>
        <family val="2"/>
      </rPr>
      <t>, cm</t>
    </r>
    <r>
      <rPr>
        <vertAlign val="superscript"/>
        <sz val="10"/>
        <rFont val="Arial"/>
        <family val="2"/>
      </rPr>
      <t>2</t>
    </r>
  </si>
  <si>
    <r>
      <t>G</t>
    </r>
    <r>
      <rPr>
        <vertAlign val="subscript"/>
        <sz val="10"/>
        <rFont val="Arial"/>
        <family val="2"/>
      </rPr>
      <t>sz</t>
    </r>
    <r>
      <rPr>
        <sz val="10"/>
        <rFont val="Arial"/>
        <family val="0"/>
      </rPr>
      <t xml:space="preserve"> =</t>
    </r>
  </si>
  <si>
    <t>Agy súlya:</t>
  </si>
  <si>
    <r>
      <t>G</t>
    </r>
    <r>
      <rPr>
        <vertAlign val="subscript"/>
        <sz val="10"/>
        <rFont val="Arial"/>
        <family val="2"/>
      </rPr>
      <t>agy</t>
    </r>
    <r>
      <rPr>
        <sz val="10"/>
        <rFont val="Arial"/>
        <family val="0"/>
      </rPr>
      <t xml:space="preserve"> =</t>
    </r>
  </si>
  <si>
    <t>Összesen:</t>
  </si>
  <si>
    <r>
      <t>G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</si>
  <si>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((r/cosφ)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+((P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/2π)/cosφ)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1/2</t>
    </r>
  </si>
  <si>
    <r>
      <t>Fő méretek</t>
    </r>
    <r>
      <rPr>
        <sz val="16"/>
        <rFont val="Arial"/>
        <family val="0"/>
      </rPr>
      <t xml:space="preserve">
Teljes hossz ... m
Vízvonalhossz ... m
Szélesség ... m
Merülés ... m
Szabadoldal ... m
Vízkiszorítás ... 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0"/>
      </rPr>
      <t xml:space="preserve">
stb.</t>
    </r>
  </si>
  <si>
    <t>vizsgált hajó képe</t>
  </si>
  <si>
    <t>... motor</t>
  </si>
  <si>
    <t>1. változat</t>
  </si>
  <si>
    <t>2. változat</t>
  </si>
  <si>
    <t>1000 édesvíznél, 1025 tengervíznél</t>
  </si>
  <si>
    <t>megjegyzés pl.nem reális, stb.</t>
  </si>
  <si>
    <t>BBBZ 4.3.2.4.2.3 ábra</t>
  </si>
  <si>
    <t>becslés a két változat alapján</t>
  </si>
  <si>
    <t>megj.</t>
  </si>
  <si>
    <t>műszaki háttér szerint</t>
  </si>
  <si>
    <t>BBBZ 4.3.2.4.2 fej.</t>
  </si>
  <si>
    <t>… hajó csavar-számítása wag. B-típusú sorozatcsavarnál</t>
  </si>
  <si>
    <r>
      <t>Optimális átmérő keresése wageningeni B csavarhoz, 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 ... W, N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 ... 1/min</t>
    </r>
  </si>
  <si>
    <t>egy- ill. kétcsavarosnál szokásos</t>
  </si>
  <si>
    <r>
      <t>K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és J szerint emelkedésviszony, tolóerő tényező, hatásfok az adott B diagramból (4.3.2.3.1.2.1):</t>
    </r>
  </si>
  <si>
    <t>D = ... m optimális</t>
  </si>
  <si>
    <t>R = .. m</t>
  </si>
  <si>
    <r>
      <t>Megjegyzés: ha a 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értéke közel esik a 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értékéhez, azzal lehet dolgozni.</t>
    </r>
  </si>
  <si>
    <r>
      <t>.../Np</t>
    </r>
    <r>
      <rPr>
        <vertAlign val="superscript"/>
        <sz val="10"/>
        <rFont val="Arial"/>
        <family val="2"/>
      </rPr>
      <t>2</t>
    </r>
  </si>
  <si>
    <r>
      <t>../N</t>
    </r>
    <r>
      <rPr>
        <vertAlign val="subscript"/>
        <sz val="10"/>
        <rFont val="Arial"/>
        <family val="2"/>
      </rPr>
      <t>p</t>
    </r>
  </si>
  <si>
    <r>
      <t>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és J szerint emelkedésviszony, nyomatéktényező, hatásfok az adott B diagramból (4.3.2.3.1.2.1):</t>
    </r>
  </si>
  <si>
    <t>Optimális átmérő keresése wageningeni B csavarhoz T == … N, Np = ... 1/min esetén</t>
  </si>
  <si>
    <r>
      <t>.../D</t>
    </r>
    <r>
      <rPr>
        <vertAlign val="superscript"/>
        <sz val="10"/>
        <rFont val="Arial"/>
        <family val="2"/>
      </rPr>
      <t>4</t>
    </r>
  </si>
  <si>
    <t>../D</t>
  </si>
  <si>
    <t>R = ... m</t>
  </si>
  <si>
    <r>
      <t>Optimálisra kiválasztott wageningeni B.z.A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/A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csavar jellemzői és jelleggörbéje</t>
    </r>
  </si>
  <si>
    <r>
      <t>B.z.A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sorozatcsavar</t>
    </r>
  </si>
  <si>
    <t>Meghajtó főmotor teljesítménye:</t>
  </si>
  <si>
    <r>
      <t>Megj.: pl.megfelelő (...</t>
    </r>
    <r>
      <rPr>
        <sz val="10"/>
        <rFont val="Arial"/>
        <family val="2"/>
      </rPr>
      <t>&lt;</t>
    </r>
    <r>
      <rPr>
        <sz val="10"/>
        <rFont val="Arial"/>
        <family val="0"/>
      </rPr>
      <t>..)</t>
    </r>
  </si>
  <si>
    <t>A hajócsavarnál normál üzem közben ... és ..% közötti kavitáció várható.</t>
  </si>
  <si>
    <t xml:space="preserve">Megj.: pl. a δ és BP értékei a diagramon kívül esnek. </t>
  </si>
  <si>
    <r>
      <t>(P</t>
    </r>
    <r>
      <rPr>
        <vertAlign val="subscript"/>
        <sz val="10"/>
        <rFont val="Arial"/>
        <family val="2"/>
      </rPr>
      <t>0,2</t>
    </r>
    <r>
      <rPr>
        <sz val="10"/>
        <rFont val="Arial"/>
        <family val="0"/>
      </rPr>
      <t>/D = ...)</t>
    </r>
  </si>
  <si>
    <t>(hátrahajlás = ...)</t>
  </si>
  <si>
    <t>Megállapítás, pl. a szárnytőben ébredő feszültség kisebb a megengedhetőnél.</t>
  </si>
  <si>
    <t>(D/t = ...)</t>
  </si>
  <si>
    <t>Megállapítás, pl. a szelvényben ébredő feszültség kisebb a megengedhetőnél.</t>
  </si>
  <si>
    <t>Optimális hajócsavar szárnymetszete</t>
  </si>
  <si>
    <t xml:space="preserve"> D =</t>
  </si>
  <si>
    <r>
      <t>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*</t>
    </r>
    <r>
      <rPr>
        <sz val="10"/>
        <rFont val="Arial"/>
        <family val="0"/>
      </rPr>
      <t>, mm</t>
    </r>
  </si>
  <si>
    <t>* a tényleges szárnyszám szerint B, C vagy D oszlop</t>
  </si>
  <si>
    <t>** a szilárdsági számítás alapján korrigálva</t>
  </si>
  <si>
    <r>
      <t>t</t>
    </r>
    <r>
      <rPr>
        <vertAlign val="subscript"/>
        <sz val="8"/>
        <rFont val="Arial"/>
        <family val="0"/>
      </rPr>
      <t>maxkorr</t>
    </r>
    <r>
      <rPr>
        <sz val="8"/>
        <rFont val="Arial"/>
        <family val="0"/>
      </rPr>
      <t>**, mm</t>
    </r>
  </si>
  <si>
    <t>Optimális D = ... m átmérőjű hajócsavar szárnyszelvényeinek koordinátái mm-ben</t>
  </si>
  <si>
    <t>Wageningeni B sorozatcsavar</t>
  </si>
  <si>
    <t>szárnyszelvény-hossz 0,6R-nél,</t>
  </si>
  <si>
    <r>
      <t>0,5467(A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)D</t>
    </r>
  </si>
  <si>
    <r>
      <t>0,4376(A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)D</t>
    </r>
  </si>
  <si>
    <t>Wageningeni B sorozatcsavar szelvényhosszak</t>
  </si>
  <si>
    <r>
      <t>* az optimális hajócsavar c</t>
    </r>
    <r>
      <rPr>
        <vertAlign val="subscript"/>
        <sz val="9"/>
        <rFont val="Arial"/>
        <family val="2"/>
      </rPr>
      <t>rtotal</t>
    </r>
    <r>
      <rPr>
        <sz val="9"/>
        <rFont val="Arial"/>
        <family val="2"/>
      </rPr>
      <t xml:space="preserve"> oszlop 0,6 sor cellájába a megfelelő cella számát kell beírni (F2, F3, F4)</t>
    </r>
  </si>
  <si>
    <t>A szárny metszete a maximális vastagságok vonalán wageningeni B csavarnál</t>
  </si>
  <si>
    <t>Sűrűség:</t>
  </si>
  <si>
    <t>Agy méretei:</t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</si>
  <si>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</si>
  <si>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</si>
  <si>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</si>
  <si>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t>L =</t>
  </si>
  <si>
    <t>Szárnyak száma: z =</t>
  </si>
  <si>
    <t>A hajócsavar súlya*</t>
  </si>
  <si>
    <t>* aktuális értékeket beírni</t>
  </si>
  <si>
    <t>Hajócsavarok száma:</t>
  </si>
  <si>
    <t>Főgép(ek) teljesítménye:</t>
  </si>
  <si>
    <t>3. változat</t>
  </si>
  <si>
    <r>
      <t>Effektív teljesítmény, P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, W</t>
    </r>
  </si>
  <si>
    <t>Egy főgép effektív teljesítménye:</t>
  </si>
  <si>
    <t>egycsavarosnál</t>
  </si>
  <si>
    <r>
      <t>0,5C</t>
    </r>
    <r>
      <rPr>
        <vertAlign val="subscript"/>
        <sz val="9"/>
        <rFont val="Arial"/>
        <family val="0"/>
      </rPr>
      <t>B</t>
    </r>
    <r>
      <rPr>
        <sz val="9"/>
        <rFont val="Arial"/>
        <family val="0"/>
      </rPr>
      <t>-0,05</t>
    </r>
  </si>
  <si>
    <r>
      <t>0,55C</t>
    </r>
    <r>
      <rPr>
        <vertAlign val="subscript"/>
        <sz val="9"/>
        <rFont val="Arial"/>
        <family val="0"/>
      </rPr>
      <t>B</t>
    </r>
    <r>
      <rPr>
        <sz val="9"/>
        <rFont val="Arial"/>
        <family val="0"/>
      </rPr>
      <t>-0,2</t>
    </r>
  </si>
  <si>
    <t>kétcsavarosnál</t>
  </si>
  <si>
    <t>w</t>
  </si>
  <si>
    <t>Választott szívási tényező érték:</t>
  </si>
  <si>
    <t>kétcsavarosnál szokásos</t>
  </si>
  <si>
    <r>
      <t>ξ</t>
    </r>
    <r>
      <rPr>
        <sz val="10"/>
        <rFont val="Arial"/>
        <family val="0"/>
      </rPr>
      <t xml:space="preserve"> = η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</si>
  <si>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W/főgép</t>
  </si>
  <si>
    <r>
      <t>Főgépek eff. teljesítménye, P</t>
    </r>
    <r>
      <rPr>
        <vertAlign val="subscript"/>
        <sz val="8"/>
        <rFont val="Arial"/>
        <family val="2"/>
      </rPr>
      <t>BE</t>
    </r>
    <r>
      <rPr>
        <sz val="8"/>
        <rFont val="Arial"/>
        <family val="2"/>
      </rPr>
      <t>, W</t>
    </r>
  </si>
  <si>
    <t>Fordulatszám*:</t>
  </si>
  <si>
    <t>* a lehetséges változatok közül kiválasztva</t>
  </si>
  <si>
    <t>Nyomaték tényező**:</t>
  </si>
  <si>
    <t>** D függvénye</t>
  </si>
  <si>
    <t>Sebesség tényező**:</t>
  </si>
  <si>
    <t>… /D</t>
  </si>
  <si>
    <r>
      <t>… /D</t>
    </r>
    <r>
      <rPr>
        <vertAlign val="superscript"/>
        <sz val="10"/>
        <rFont val="Arial"/>
        <family val="2"/>
      </rPr>
      <t>5</t>
    </r>
  </si>
  <si>
    <r>
      <t>Optimális fordulatszám keresése wageningeni B.z.A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/A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típusú csavarhoz D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esetén</t>
    </r>
  </si>
  <si>
    <t>Tolóerő tényező*:</t>
  </si>
  <si>
    <t>Sebesség tényező*:</t>
  </si>
  <si>
    <t>Maximális csavarátmérő:</t>
  </si>
  <si>
    <t>Megjegyzés, pl. nincs optimum illetve</t>
  </si>
  <si>
    <r>
      <t>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és J szerint emelkedésviszony, nyomatéktényező, hatásfok adott B diagramból (4.3.2.3.1.2.1):</t>
    </r>
  </si>
  <si>
    <r>
      <t>N</t>
    </r>
    <r>
      <rPr>
        <vertAlign val="subscript"/>
        <sz val="10"/>
        <rFont val="Arial"/>
        <family val="2"/>
      </rPr>
      <t>popt</t>
    </r>
    <r>
      <rPr>
        <sz val="10"/>
        <rFont val="Arial"/>
        <family val="0"/>
      </rPr>
      <t xml:space="preserve"> = … 1/min</t>
    </r>
  </si>
  <si>
    <r>
      <t>n=N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>/60(1+c)</t>
    </r>
  </si>
  <si>
    <t>Csavar fordulatszáma*:</t>
  </si>
  <si>
    <t>* optimálisra kiadódó fordulatszám</t>
  </si>
  <si>
    <t>Tolóerő tényező**:</t>
  </si>
  <si>
    <t>Eff. össztolóerő: T' = T(1-t), N</t>
  </si>
  <si>
    <r>
      <t>Hajóellenállás: 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, N</t>
    </r>
  </si>
  <si>
    <t>Üzemi sebesség a diagramból:</t>
  </si>
  <si>
    <r>
      <t>σ</t>
    </r>
    <r>
      <rPr>
        <vertAlign val="subscript"/>
        <sz val="10"/>
        <rFont val="Arial"/>
        <family val="2"/>
      </rPr>
      <t>0,7R</t>
    </r>
    <r>
      <rPr>
        <sz val="10"/>
        <rFont val="Arial"/>
        <family val="0"/>
      </rPr>
      <t xml:space="preserve"> = </t>
    </r>
  </si>
  <si>
    <t>megj.: pl. nem megfelelő, mert …</t>
  </si>
  <si>
    <t>Hajócsavarok szárnyszáma:</t>
  </si>
  <si>
    <r>
      <t>B.z.A</t>
    </r>
    <r>
      <rPr>
        <vertAlign val="subscript"/>
        <sz val="8"/>
        <rFont val="Arial"/>
        <family val="0"/>
      </rPr>
      <t>D</t>
    </r>
    <r>
      <rPr>
        <sz val="8"/>
        <rFont val="Arial"/>
        <family val="0"/>
      </rPr>
      <t>/A</t>
    </r>
    <r>
      <rPr>
        <vertAlign val="subscript"/>
        <sz val="8"/>
        <rFont val="Arial"/>
        <family val="0"/>
      </rPr>
      <t>0</t>
    </r>
    <r>
      <rPr>
        <sz val="8"/>
        <rFont val="Arial"/>
        <family val="0"/>
      </rPr>
      <t xml:space="preserve"> diagramból </t>
    </r>
    <r>
      <rPr>
        <sz val="10"/>
        <rFont val="Arial"/>
        <family val="2"/>
      </rPr>
      <t>η</t>
    </r>
    <r>
      <rPr>
        <vertAlign val="subscript"/>
        <sz val="10"/>
        <rFont val="Arial"/>
        <family val="2"/>
      </rPr>
      <t>0</t>
    </r>
  </si>
  <si>
    <r>
      <t>66,7P</t>
    </r>
    <r>
      <rPr>
        <vertAlign val="subscript"/>
        <sz val="9"/>
        <rFont val="Arial"/>
        <family val="2"/>
      </rPr>
      <t>0,2</t>
    </r>
    <r>
      <rPr>
        <sz val="9"/>
        <rFont val="Arial"/>
        <family val="0"/>
      </rPr>
      <t>/D</t>
    </r>
  </si>
  <si>
    <t>(a piros színnel írt értékek helyett a valós értékeket kell beírni)</t>
  </si>
  <si>
    <r>
      <t xml:space="preserve">A hajócsavar anyaga </t>
    </r>
    <r>
      <rPr>
        <sz val="10"/>
        <color indexed="10"/>
        <rFont val="Arial"/>
        <family val="2"/>
      </rPr>
      <t>...</t>
    </r>
    <r>
      <rPr>
        <sz val="10"/>
        <rFont val="Arial"/>
        <family val="0"/>
      </rPr>
      <t xml:space="preserve">, 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</t>
    </r>
    <r>
      <rPr>
        <sz val="10"/>
        <color indexed="10"/>
        <rFont val="Arial"/>
        <family val="2"/>
      </rPr>
      <t>...</t>
    </r>
    <r>
      <rPr>
        <sz val="10"/>
        <rFont val="Arial"/>
        <family val="0"/>
      </rPr>
      <t xml:space="preserve"> dN/cm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</si>
  <si>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r>
      <t xml:space="preserve">Megengedhető feszültség 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0,15σ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</t>
    </r>
    <r>
      <rPr>
        <sz val="10"/>
        <color indexed="10"/>
        <rFont val="Arial"/>
        <family val="2"/>
      </rPr>
      <t>...</t>
    </r>
    <r>
      <rPr>
        <sz val="10"/>
        <rFont val="Arial"/>
        <family val="0"/>
      </rPr>
      <t xml:space="preserve"> dN/cm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</si>
  <si>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r>
      <t>c</t>
    </r>
    <r>
      <rPr>
        <vertAlign val="subscript"/>
        <sz val="10"/>
        <rFont val="Arial"/>
        <family val="2"/>
      </rPr>
      <t>rt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0,6</t>
    </r>
  </si>
  <si>
    <r>
      <t>c</t>
    </r>
    <r>
      <rPr>
        <vertAlign val="subscript"/>
        <sz val="10"/>
        <rFont val="Arial"/>
        <family val="2"/>
      </rPr>
      <t>rl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0,6</t>
    </r>
  </si>
  <si>
    <r>
      <t>c</t>
    </r>
    <r>
      <rPr>
        <vertAlign val="subscript"/>
        <sz val="10"/>
        <rFont val="Arial"/>
        <family val="2"/>
      </rPr>
      <t>rtotal0,6</t>
    </r>
    <r>
      <rPr>
        <sz val="10"/>
        <rFont val="Arial"/>
        <family val="2"/>
      </rPr>
      <t>*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</si>
</sst>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[$-40E]yyyy\.\ mmmm\ d\."/>
    <numFmt numFmtId="167" formatCode="&quot;H-&quot;0000"/>
    <numFmt numFmtId="168" formatCode="0.000000"/>
    <numFmt numFmtId="169" formatCode="0.00000000"/>
    <numFmt numFmtId="170" formatCode="0.0"/>
    <numFmt numFmtId="171" formatCode="0.00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vertAlign val="superscript"/>
      <sz val="16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7.75"/>
      <name val="Arial"/>
      <family val="2"/>
    </font>
    <font>
      <sz val="7"/>
      <name val="Arial"/>
      <family val="2"/>
    </font>
    <font>
      <vertAlign val="subscript"/>
      <sz val="8"/>
      <name val="Arial"/>
      <family val="2"/>
    </font>
    <font>
      <vertAlign val="subscript"/>
      <sz val="7"/>
      <name val="Arial"/>
      <family val="0"/>
    </font>
    <font>
      <sz val="5"/>
      <name val="Arial"/>
      <family val="0"/>
    </font>
    <font>
      <vertAlign val="subscript"/>
      <sz val="5"/>
      <name val="Arial"/>
      <family val="0"/>
    </font>
    <font>
      <vertAlign val="superscript"/>
      <sz val="9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70" fontId="0" fillId="0" borderId="1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7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center"/>
    </xf>
    <xf numFmtId="171" fontId="0" fillId="0" borderId="2" xfId="0" applyNumberFormat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0" applyNumberFormat="1" applyBorder="1" applyAlignment="1">
      <alignment/>
    </xf>
    <xf numFmtId="0" fontId="6" fillId="0" borderId="1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  <xf numFmtId="0" fontId="6" fillId="0" borderId="14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1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164" fontId="22" fillId="0" borderId="15" xfId="0" applyNumberFormat="1" applyFont="1" applyBorder="1" applyAlignment="1">
      <alignment/>
    </xf>
    <xf numFmtId="0" fontId="22" fillId="0" borderId="10" xfId="0" applyFont="1" applyBorder="1" applyAlignment="1">
      <alignment/>
    </xf>
    <xf numFmtId="170" fontId="22" fillId="0" borderId="1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164" fontId="22" fillId="0" borderId="0" xfId="0" applyNumberFormat="1" applyFont="1" applyAlignment="1">
      <alignment/>
    </xf>
    <xf numFmtId="2" fontId="22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Adatok!$D$15:$L$15</c:f>
              <c:numCache/>
            </c:numRef>
          </c:cat>
          <c:val>
            <c:numRef>
              <c:f>Adatok!$D$17:$L$17</c:f>
              <c:numCache/>
            </c:numRef>
          </c:val>
          <c:smooth val="0"/>
        </c:ser>
        <c:ser>
          <c:idx val="1"/>
          <c:order val="1"/>
          <c:tx>
            <c:v>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Adatok!$D$18:$L$18</c:f>
              <c:numCache/>
            </c:numRef>
          </c:val>
          <c:smooth val="0"/>
        </c:ser>
        <c:ser>
          <c:idx val="2"/>
          <c:order val="2"/>
          <c:tx>
            <c:v>PBE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Adatok!#REF!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Adatok!$D$19:$L$19</c:f>
              <c:numCache/>
            </c:numRef>
          </c:val>
          <c:smooth val="0"/>
        </c:ser>
        <c:axId val="5154566"/>
        <c:axId val="46391095"/>
      </c:lineChart>
      <c:catAx>
        <c:axId val="515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sebesség, csomó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ellenállás, N  teljesítmény,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4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rajza'!$C$103:$K$103</c:f>
              <c:numCache/>
            </c:numRef>
          </c:cat>
          <c:val>
            <c:numRef>
              <c:f>'csavar rajza'!$C$104:$K$104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rajza'!$C$103:$K$103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4343872"/>
        <c:axId val="19332801"/>
      </c:line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43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rajza'!$C$105:$K$105</c:f>
              <c:numCache/>
            </c:numRef>
          </c:cat>
          <c:val>
            <c:numRef>
              <c:f>'csavar rajza'!$C$106:$K$106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rajza'!$C$105:$K$105</c:f>
              <c:numCache/>
            </c:numRef>
          </c:cat>
          <c:val>
            <c:numRef>
              <c:f>'csavar rajza'!$C$116:$K$116</c:f>
              <c:numCache/>
            </c:numRef>
          </c:val>
          <c:smooth val="0"/>
        </c:ser>
        <c:axId val="39777482"/>
        <c:axId val="22453019"/>
      </c:line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77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rajza'!$C$107:$K$107</c:f>
              <c:numCache/>
            </c:numRef>
          </c:cat>
          <c:val>
            <c:numRef>
              <c:f>'csavar rajza'!$C$108:$K$108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rajza'!$C$107:$K$107</c:f>
              <c:numCache/>
            </c:numRef>
          </c:cat>
          <c:val>
            <c:numRef>
              <c:f>'csavar rajza'!$C$117:$K$117</c:f>
              <c:numCache/>
            </c:numRef>
          </c:val>
          <c:smooth val="0"/>
        </c:ser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rajza'!$C$109:$K$109</c:f>
              <c:numCache/>
            </c:numRef>
          </c:cat>
          <c:val>
            <c:numRef>
              <c:f>'csavar rajza'!$C$110:$K$110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rajza'!$C$109:$K$109</c:f>
              <c:numCache/>
            </c:numRef>
          </c:cat>
          <c:val>
            <c:numRef>
              <c:f>'csavar rajza'!$C$118:$K$118</c:f>
              <c:numCache/>
            </c:numRef>
          </c:val>
          <c:smooth val="0"/>
        </c:ser>
        <c:axId val="60796990"/>
        <c:axId val="10301999"/>
      </c:line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9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rajza'!$C$111:$K$111</c:f>
              <c:numCache/>
            </c:numRef>
          </c:cat>
          <c:val>
            <c:numRef>
              <c:f>'csavar rajza'!$C$112:$K$112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rajza'!$C$111:$K$111</c:f>
              <c:numCache/>
            </c:numRef>
          </c:cat>
          <c:val>
            <c:numRef>
              <c:f>'csavar rajza'!$C$119:$K$119</c:f>
              <c:numCache/>
            </c:numRef>
          </c:val>
          <c:smooth val="0"/>
        </c:ser>
        <c:axId val="25609128"/>
        <c:axId val="29155561"/>
      </c:line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09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rajza'!$C$113:$K$113</c:f>
              <c:numCache/>
            </c:numRef>
          </c:cat>
          <c:val>
            <c:numRef>
              <c:f>'csavar rajza'!$C$114:$K$114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rajza'!$C$113:$K$113</c:f>
              <c:numCache/>
            </c:numRef>
          </c:cat>
          <c:val>
            <c:numRef>
              <c:f>'csavar rajza'!$C$120:$K$120</c:f>
              <c:numCache/>
            </c:numRef>
          </c:val>
          <c:smooth val="0"/>
        </c:ser>
        <c:axId val="61073458"/>
        <c:axId val="12790211"/>
      </c:line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7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vet.be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rajza'!$A$198:$A$205</c:f>
              <c:numCache/>
            </c:numRef>
          </c:cat>
          <c:val>
            <c:numRef>
              <c:f>'csavar rajza'!$G$198:$G$205</c:f>
              <c:numCache/>
            </c:numRef>
          </c:val>
          <c:smooth val="0"/>
        </c:ser>
        <c:ser>
          <c:idx val="1"/>
          <c:order val="1"/>
          <c:tx>
            <c:v>vet.ki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rajza'!$A$198:$A$205</c:f>
              <c:numCache/>
            </c:numRef>
          </c:cat>
          <c:val>
            <c:numRef>
              <c:f>'csavar rajza'!$F$198:$F$205</c:f>
              <c:numCache/>
            </c:numRef>
          </c:val>
          <c:smooth val="0"/>
        </c:ser>
        <c:ser>
          <c:idx val="2"/>
          <c:order val="2"/>
          <c:tx>
            <c:v>oldal 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rajza'!$A$198:$A$205</c:f>
              <c:numCache/>
            </c:numRef>
          </c:cat>
          <c:val>
            <c:numRef>
              <c:f>'csavar rajza'!$I$198:$I$205</c:f>
              <c:numCache/>
            </c:numRef>
          </c:val>
          <c:smooth val="0"/>
        </c:ser>
        <c:ser>
          <c:idx val="3"/>
          <c:order val="3"/>
          <c:tx>
            <c:v>oldal ki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rajza'!$A$198:$A$205</c:f>
              <c:numCache/>
            </c:numRef>
          </c:cat>
          <c:val>
            <c:numRef>
              <c:f>'csavar rajza'!$H$198:$H$205</c:f>
              <c:numCache/>
            </c:numRef>
          </c:val>
          <c:smooth val="0"/>
        </c:ser>
        <c:axId val="48003036"/>
        <c:axId val="29374141"/>
      </c:line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kilépőél  mm  belépőél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03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'kiválasztás Ps-Np-KQ-Dopt'!$A$14</c:f>
              <c:strCache>
                <c:ptCount val="1"/>
                <c:pt idx="0">
                  <c:v>10KQ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Ps-Np-KQ-Dopt'!$B$13:$G$13</c:f>
              <c:numCache/>
            </c:numRef>
          </c:cat>
          <c:val>
            <c:numRef>
              <c:f>'kiválasztás Ps-Np-KQ-Dopt'!$B$14:$G$14</c:f>
              <c:numCache/>
            </c:numRef>
          </c:val>
          <c:smooth val="0"/>
        </c:ser>
        <c:ser>
          <c:idx val="1"/>
          <c:order val="1"/>
          <c:tx>
            <c:strRef>
              <c:f>'kiválasztás Ps-Np-KQ-Dopt'!$A$17</c:f>
              <c:strCache>
                <c:ptCount val="1"/>
                <c:pt idx="0">
                  <c:v>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'kiválasztás Ps-Np-KQ-Dopt'!$B$17:$G$17</c:f>
              <c:numCache/>
            </c:numRef>
          </c:val>
          <c:smooth val="0"/>
        </c:ser>
        <c:ser>
          <c:idx val="2"/>
          <c:order val="2"/>
          <c:tx>
            <c:strRef>
              <c:f>'kiválasztás Ps-Np-KQ-Dopt'!$A$16</c:f>
              <c:strCache>
                <c:ptCount val="1"/>
                <c:pt idx="0">
                  <c:v>P/D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'kiválasztás Ps-Np-KQ-Dopt'!$B$16:$G$16</c:f>
              <c:numCache/>
            </c:numRef>
          </c:val>
          <c:smooth val="0"/>
        </c:ser>
        <c:ser>
          <c:idx val="3"/>
          <c:order val="3"/>
          <c:tx>
            <c:strRef>
              <c:f>'kiválasztás Ps-Np-KQ-Dopt'!$A$18</c:f>
              <c:strCache>
                <c:ptCount val="1"/>
                <c:pt idx="0">
                  <c:v>η0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'kiválasztás Ps-Np-KQ-Dopt'!$B$18:$G$18</c:f>
              <c:numCache/>
            </c:numRef>
          </c:val>
          <c:smooth val="0"/>
        </c:ser>
        <c:axId val="14866672"/>
        <c:axId val="66691185"/>
      </c:lineChart>
      <c:catAx>
        <c:axId val="1486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1185"/>
        <c:crosses val="autoZero"/>
        <c:auto val="1"/>
        <c:lblOffset val="100"/>
        <c:noMultiLvlLbl val="0"/>
      </c:catAx>
      <c:valAx>
        <c:axId val="66691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6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'kiválasztás RT-T-KT-Dopt'!$A$12</c:f>
              <c:strCache>
                <c:ptCount val="1"/>
                <c:pt idx="0">
                  <c:v>P/D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RT-T-KT-Dopt'!$B$9:$H$9</c:f>
              <c:numCache/>
            </c:numRef>
          </c:cat>
          <c:val>
            <c:numRef>
              <c:f>'kiválasztás RT-T-KT-Dopt'!$B$12:$H$12</c:f>
              <c:numCache/>
            </c:numRef>
          </c:val>
          <c:smooth val="0"/>
        </c:ser>
        <c:ser>
          <c:idx val="0"/>
          <c:order val="1"/>
          <c:tx>
            <c:strRef>
              <c:f>'kiválasztás RT-T-KT-Dopt'!$A$10</c:f>
              <c:strCache>
                <c:ptCount val="1"/>
                <c:pt idx="0">
                  <c:v>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RT-T-KT-Dopt'!$B$9:$H$9</c:f>
              <c:numCache/>
            </c:numRef>
          </c:cat>
          <c:val>
            <c:numRef>
              <c:f>'kiválasztás RT-T-KT-Dopt'!$B$10:$H$10</c:f>
              <c:numCache/>
            </c:numRef>
          </c:val>
          <c:smooth val="0"/>
        </c:ser>
        <c:ser>
          <c:idx val="1"/>
          <c:order val="2"/>
          <c:tx>
            <c:strRef>
              <c:f>'kiválasztás RT-T-KT-Dopt'!$A$13</c:f>
              <c:strCache>
                <c:ptCount val="1"/>
                <c:pt idx="0">
                  <c:v>10KQ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RT-T-KT-Dopt'!$B$9:$H$9</c:f>
              <c:numCache/>
            </c:numRef>
          </c:cat>
          <c:val>
            <c:numRef>
              <c:f>'kiválasztás RT-T-KT-Dopt'!$B$13:$H$13</c:f>
              <c:numCache/>
            </c:numRef>
          </c:val>
          <c:smooth val="0"/>
        </c:ser>
        <c:ser>
          <c:idx val="2"/>
          <c:order val="3"/>
          <c:tx>
            <c:strRef>
              <c:f>'kiválasztás RT-T-KT-Dopt'!$A$14</c:f>
              <c:strCache>
                <c:ptCount val="1"/>
                <c:pt idx="0">
                  <c:v>η0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RT-T-KT-Dopt'!$B$9:$H$9</c:f>
              <c:numCache/>
            </c:numRef>
          </c:cat>
          <c:val>
            <c:numRef>
              <c:f>'kiválasztás RT-T-KT-Dopt'!$B$14:$H$14</c:f>
              <c:numCache/>
            </c:numRef>
          </c:val>
          <c:smooth val="0"/>
        </c:ser>
        <c:axId val="63349754"/>
        <c:axId val="33276875"/>
      </c:lineChart>
      <c:catAx>
        <c:axId val="6334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átmérő,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6875"/>
        <c:crosses val="autoZero"/>
        <c:auto val="1"/>
        <c:lblOffset val="100"/>
        <c:noMultiLvlLbl val="0"/>
      </c:catAx>
      <c:valAx>
        <c:axId val="33276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4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'optimális csavar jellemzői'!$D$11:$I$11</c:f>
              <c:numCache/>
            </c:numRef>
          </c:cat>
          <c:val>
            <c:numRef>
              <c:f>'optimális csavar jellemzői'!$D$16:$I$16</c:f>
              <c:numCache/>
            </c:numRef>
          </c:val>
          <c:smooth val="0"/>
        </c:ser>
        <c:ser>
          <c:idx val="1"/>
          <c:order val="1"/>
          <c:tx>
            <c:v>T'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'optimális csavar jellemzői'!$D$15:$I$15</c:f>
              <c:numCache/>
            </c:numRef>
          </c:val>
          <c:smooth val="0"/>
        </c:ser>
        <c:ser>
          <c:idx val="2"/>
          <c:order val="2"/>
          <c:tx>
            <c:v>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'optimális csavar jellemzői'!$D$14:$I$14</c:f>
              <c:numCache/>
            </c:numRef>
          </c:val>
          <c:smooth val="0"/>
        </c:ser>
        <c:axId val="31056420"/>
        <c:axId val="11072325"/>
      </c:lineChart>
      <c:catAx>
        <c:axId val="310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hajósebesség, csomó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2325"/>
        <c:crosses val="autoZero"/>
        <c:auto val="1"/>
        <c:lblOffset val="100"/>
        <c:noMultiLvlLbl val="0"/>
      </c:catAx>
      <c:valAx>
        <c:axId val="1107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effektív tolóerő és ellenállás,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5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'csavar rajza'!$G$11</c:f>
              <c:strCache>
                <c:ptCount val="1"/>
                <c:pt idx="0">
                  <c:v>crt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rajza'!$A$12:$A$28</c:f>
              <c:numCache/>
            </c:numRef>
          </c:cat>
          <c:val>
            <c:numRef>
              <c:f>'csavar rajza'!$G$12:$G$28</c:f>
              <c:numCache/>
            </c:numRef>
          </c:val>
          <c:smooth val="0"/>
        </c:ser>
        <c:ser>
          <c:idx val="1"/>
          <c:order val="1"/>
          <c:tx>
            <c:strRef>
              <c:f>'csavar rajza'!$H$11</c:f>
              <c:strCache>
                <c:ptCount val="1"/>
                <c:pt idx="0">
                  <c:v>crl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'csavar rajza'!$H$12:$H$28</c:f>
              <c:numCache/>
            </c:numRef>
          </c:val>
          <c:smooth val="0"/>
        </c:ser>
        <c:ser>
          <c:idx val="2"/>
          <c:order val="2"/>
          <c:tx>
            <c:strRef>
              <c:f>'csavar rajza'!$J$11</c:f>
              <c:strCache>
                <c:ptCount val="1"/>
                <c:pt idx="0">
                  <c:v>cmaxtl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'csavar rajza'!$I$12:$I$28</c:f>
              <c:numCache/>
            </c:numRef>
          </c:val>
          <c:smooth val="0"/>
        </c:ser>
        <c:axId val="32542062"/>
        <c:axId val="24443103"/>
      </c:lineChart>
      <c:catAx>
        <c:axId val="325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3103"/>
        <c:crosses val="autoZero"/>
        <c:auto val="1"/>
        <c:lblOffset val="100"/>
        <c:noMultiLvlLbl val="0"/>
      </c:catAx>
      <c:valAx>
        <c:axId val="2444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'csavar rajza'!$B$58</c:f>
              <c:strCache>
                <c:ptCount val="1"/>
                <c:pt idx="0">
                  <c:v>tmax*, 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rajza'!$A$59:$A$67</c:f>
              <c:numCache/>
            </c:numRef>
          </c:cat>
          <c:val>
            <c:numRef>
              <c:f>'csavar rajza'!$B$59:$B$67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'csavar rajza'!$C$59:$C$67</c:f>
              <c:numCache/>
            </c:numRef>
          </c:val>
          <c:smooth val="0"/>
        </c:ser>
        <c:axId val="18661336"/>
        <c:axId val="33734297"/>
      </c:lineChart>
      <c:catAx>
        <c:axId val="1866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34297"/>
        <c:crosses val="autoZero"/>
        <c:auto val="1"/>
        <c:lblOffset val="100"/>
        <c:noMultiLvlLbl val="0"/>
      </c:catAx>
      <c:valAx>
        <c:axId val="3373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tmax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61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rajza'!$C$97:$K$97</c:f>
              <c:numCache/>
            </c:numRef>
          </c:cat>
          <c:val>
            <c:numRef>
              <c:f>'csavar rajza'!$C$98:$K$98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rajza'!$C$97:$K$97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73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rajza'!$C$99:$K$99</c:f>
              <c:numCache/>
            </c:numRef>
          </c:cat>
          <c:val>
            <c:numRef>
              <c:f>'csavar rajza'!$C$100:$K$100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rajza'!$C$99:$K$99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rajza'!$C$101:$K$101</c:f>
              <c:numCache/>
            </c:numRef>
          </c:cat>
          <c:val>
            <c:numRef>
              <c:f>'csavar rajza'!$C$102:$K$102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rajza'!$C$101:$K$101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1209686"/>
        <c:axId val="58233991"/>
      </c:line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09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285750</xdr:rowOff>
    </xdr:from>
    <xdr:to>
      <xdr:col>0</xdr:col>
      <xdr:colOff>3305175</xdr:colOff>
      <xdr:row>1</xdr:row>
      <xdr:rowOff>1685925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90575"/>
          <a:ext cx="3238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19</xdr:row>
      <xdr:rowOff>57150</xdr:rowOff>
    </xdr:from>
    <xdr:to>
      <xdr:col>8</xdr:col>
      <xdr:colOff>257175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466725" y="3343275"/>
        <a:ext cx="46672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18</xdr:row>
      <xdr:rowOff>104775</xdr:rowOff>
    </xdr:from>
    <xdr:to>
      <xdr:col>8</xdr:col>
      <xdr:colOff>133350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342900" y="3533775"/>
        <a:ext cx="4667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14</xdr:row>
      <xdr:rowOff>76200</xdr:rowOff>
    </xdr:from>
    <xdr:to>
      <xdr:col>8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61950" y="26860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8</xdr:col>
      <xdr:colOff>285750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495300" y="2971800"/>
        <a:ext cx="47148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28</xdr:row>
      <xdr:rowOff>47625</xdr:rowOff>
    </xdr:from>
    <xdr:to>
      <xdr:col>8</xdr:col>
      <xdr:colOff>133350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342900" y="4781550"/>
        <a:ext cx="46672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57</xdr:row>
      <xdr:rowOff>95250</xdr:rowOff>
    </xdr:from>
    <xdr:to>
      <xdr:col>8</xdr:col>
      <xdr:colOff>571500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105025" y="9525000"/>
        <a:ext cx="33432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122</xdr:row>
      <xdr:rowOff>28575</xdr:rowOff>
    </xdr:from>
    <xdr:to>
      <xdr:col>8</xdr:col>
      <xdr:colOff>314325</xdr:colOff>
      <xdr:row>126</xdr:row>
      <xdr:rowOff>19050</xdr:rowOff>
    </xdr:to>
    <xdr:graphicFrame>
      <xdr:nvGraphicFramePr>
        <xdr:cNvPr id="3" name="Chart 3"/>
        <xdr:cNvGraphicFramePr/>
      </xdr:nvGraphicFramePr>
      <xdr:xfrm>
        <a:off x="1409700" y="20021550"/>
        <a:ext cx="3781425" cy="63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590550</xdr:colOff>
      <xdr:row>125</xdr:row>
      <xdr:rowOff>152400</xdr:rowOff>
    </xdr:from>
    <xdr:to>
      <xdr:col>9</xdr:col>
      <xdr:colOff>0</xdr:colOff>
      <xdr:row>131</xdr:row>
      <xdr:rowOff>0</xdr:rowOff>
    </xdr:to>
    <xdr:graphicFrame>
      <xdr:nvGraphicFramePr>
        <xdr:cNvPr id="4" name="Chart 4"/>
        <xdr:cNvGraphicFramePr/>
      </xdr:nvGraphicFramePr>
      <xdr:xfrm>
        <a:off x="1200150" y="20631150"/>
        <a:ext cx="4286250" cy="81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130</xdr:row>
      <xdr:rowOff>9525</xdr:rowOff>
    </xdr:from>
    <xdr:to>
      <xdr:col>9</xdr:col>
      <xdr:colOff>114300</xdr:colOff>
      <xdr:row>135</xdr:row>
      <xdr:rowOff>28575</xdr:rowOff>
    </xdr:to>
    <xdr:graphicFrame>
      <xdr:nvGraphicFramePr>
        <xdr:cNvPr id="5" name="Chart 5"/>
        <xdr:cNvGraphicFramePr/>
      </xdr:nvGraphicFramePr>
      <xdr:xfrm>
        <a:off x="685800" y="21297900"/>
        <a:ext cx="4914900" cy="828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476250</xdr:colOff>
      <xdr:row>134</xdr:row>
      <xdr:rowOff>66675</xdr:rowOff>
    </xdr:from>
    <xdr:to>
      <xdr:col>9</xdr:col>
      <xdr:colOff>66675</xdr:colOff>
      <xdr:row>140</xdr:row>
      <xdr:rowOff>38100</xdr:rowOff>
    </xdr:to>
    <xdr:graphicFrame>
      <xdr:nvGraphicFramePr>
        <xdr:cNvPr id="6" name="Chart 6"/>
        <xdr:cNvGraphicFramePr/>
      </xdr:nvGraphicFramePr>
      <xdr:xfrm>
        <a:off x="476250" y="22002750"/>
        <a:ext cx="5076825" cy="942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371475</xdr:colOff>
      <xdr:row>139</xdr:row>
      <xdr:rowOff>28575</xdr:rowOff>
    </xdr:from>
    <xdr:to>
      <xdr:col>9</xdr:col>
      <xdr:colOff>0</xdr:colOff>
      <xdr:row>146</xdr:row>
      <xdr:rowOff>0</xdr:rowOff>
    </xdr:to>
    <xdr:graphicFrame>
      <xdr:nvGraphicFramePr>
        <xdr:cNvPr id="7" name="Chart 7"/>
        <xdr:cNvGraphicFramePr/>
      </xdr:nvGraphicFramePr>
      <xdr:xfrm>
        <a:off x="371475" y="22774275"/>
        <a:ext cx="51149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304800</xdr:colOff>
      <xdr:row>146</xdr:row>
      <xdr:rowOff>0</xdr:rowOff>
    </xdr:from>
    <xdr:to>
      <xdr:col>8</xdr:col>
      <xdr:colOff>542925</xdr:colOff>
      <xdr:row>152</xdr:row>
      <xdr:rowOff>142875</xdr:rowOff>
    </xdr:to>
    <xdr:graphicFrame>
      <xdr:nvGraphicFramePr>
        <xdr:cNvPr id="8" name="Chart 8"/>
        <xdr:cNvGraphicFramePr/>
      </xdr:nvGraphicFramePr>
      <xdr:xfrm>
        <a:off x="304800" y="23879175"/>
        <a:ext cx="5114925" cy="1114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438150</xdr:colOff>
      <xdr:row>152</xdr:row>
      <xdr:rowOff>19050</xdr:rowOff>
    </xdr:from>
    <xdr:to>
      <xdr:col>8</xdr:col>
      <xdr:colOff>171450</xdr:colOff>
      <xdr:row>160</xdr:row>
      <xdr:rowOff>9525</xdr:rowOff>
    </xdr:to>
    <xdr:graphicFrame>
      <xdr:nvGraphicFramePr>
        <xdr:cNvPr id="9" name="Chart 9"/>
        <xdr:cNvGraphicFramePr/>
      </xdr:nvGraphicFramePr>
      <xdr:xfrm>
        <a:off x="438150" y="24869775"/>
        <a:ext cx="4610100" cy="1285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533400</xdr:colOff>
      <xdr:row>159</xdr:row>
      <xdr:rowOff>28575</xdr:rowOff>
    </xdr:from>
    <xdr:to>
      <xdr:col>8</xdr:col>
      <xdr:colOff>76200</xdr:colOff>
      <xdr:row>168</xdr:row>
      <xdr:rowOff>9525</xdr:rowOff>
    </xdr:to>
    <xdr:graphicFrame>
      <xdr:nvGraphicFramePr>
        <xdr:cNvPr id="10" name="Chart 10"/>
        <xdr:cNvGraphicFramePr/>
      </xdr:nvGraphicFramePr>
      <xdr:xfrm>
        <a:off x="533400" y="26012775"/>
        <a:ext cx="4419600" cy="1438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76200</xdr:colOff>
      <xdr:row>167</xdr:row>
      <xdr:rowOff>28575</xdr:rowOff>
    </xdr:from>
    <xdr:to>
      <xdr:col>7</xdr:col>
      <xdr:colOff>419100</xdr:colOff>
      <xdr:row>176</xdr:row>
      <xdr:rowOff>19050</xdr:rowOff>
    </xdr:to>
    <xdr:graphicFrame>
      <xdr:nvGraphicFramePr>
        <xdr:cNvPr id="11" name="Chart 11"/>
        <xdr:cNvGraphicFramePr/>
      </xdr:nvGraphicFramePr>
      <xdr:xfrm>
        <a:off x="685800" y="27308175"/>
        <a:ext cx="4000500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104775</xdr:colOff>
      <xdr:row>209</xdr:row>
      <xdr:rowOff>19050</xdr:rowOff>
    </xdr:from>
    <xdr:to>
      <xdr:col>8</xdr:col>
      <xdr:colOff>504825</xdr:colOff>
      <xdr:row>224</xdr:row>
      <xdr:rowOff>133350</xdr:rowOff>
    </xdr:to>
    <xdr:graphicFrame>
      <xdr:nvGraphicFramePr>
        <xdr:cNvPr id="12" name="Chart 12"/>
        <xdr:cNvGraphicFramePr/>
      </xdr:nvGraphicFramePr>
      <xdr:xfrm>
        <a:off x="104775" y="34175700"/>
        <a:ext cx="52768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:B1"/>
    </sheetView>
  </sheetViews>
  <sheetFormatPr defaultColWidth="9.140625" defaultRowHeight="12.75"/>
  <cols>
    <col min="1" max="1" width="52.7109375" style="0" customWidth="1"/>
    <col min="2" max="2" width="78.8515625" style="0" customWidth="1"/>
  </cols>
  <sheetData>
    <row r="1" spans="1:2" ht="39.75" customHeight="1">
      <c r="A1" s="88" t="s">
        <v>312</v>
      </c>
      <c r="B1" s="89"/>
    </row>
    <row r="2" spans="1:2" ht="408.75" customHeight="1">
      <c r="A2" s="23" t="s">
        <v>301</v>
      </c>
      <c r="B2" s="11" t="s">
        <v>300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2" t="s">
        <v>1</v>
      </c>
      <c r="C1" t="s">
        <v>401</v>
      </c>
    </row>
    <row r="2" spans="1:6" ht="12.75">
      <c r="A2" t="s">
        <v>9</v>
      </c>
      <c r="C2" s="90">
        <v>50</v>
      </c>
      <c r="D2" t="s">
        <v>0</v>
      </c>
      <c r="E2" t="s">
        <v>8</v>
      </c>
      <c r="F2">
        <f>C3/C2</f>
        <v>0.2</v>
      </c>
    </row>
    <row r="3" spans="1:6" ht="12.75">
      <c r="A3" t="s">
        <v>10</v>
      </c>
      <c r="C3" s="90">
        <v>10</v>
      </c>
      <c r="D3" t="s">
        <v>0</v>
      </c>
      <c r="E3" t="s">
        <v>14</v>
      </c>
      <c r="F3">
        <f>C7/C4</f>
        <v>0.4</v>
      </c>
    </row>
    <row r="4" spans="1:6" ht="12.75">
      <c r="A4" t="s">
        <v>11</v>
      </c>
      <c r="C4" s="90">
        <v>2</v>
      </c>
      <c r="D4" t="s">
        <v>0</v>
      </c>
      <c r="E4" t="s">
        <v>15</v>
      </c>
      <c r="F4" s="4">
        <f>C6/C2</f>
        <v>0.03</v>
      </c>
    </row>
    <row r="5" spans="1:4" ht="15.75">
      <c r="A5" t="s">
        <v>12</v>
      </c>
      <c r="C5" s="90">
        <v>0.6</v>
      </c>
      <c r="D5" t="s">
        <v>0</v>
      </c>
    </row>
    <row r="6" spans="1:4" ht="12.75">
      <c r="A6" t="s">
        <v>132</v>
      </c>
      <c r="C6" s="91">
        <v>1.5</v>
      </c>
      <c r="D6" t="s">
        <v>0</v>
      </c>
    </row>
    <row r="7" spans="1:4" ht="12.75">
      <c r="A7" t="s">
        <v>133</v>
      </c>
      <c r="C7" s="91">
        <v>0.8</v>
      </c>
      <c r="D7" t="s">
        <v>0</v>
      </c>
    </row>
    <row r="8" spans="1:8" ht="12.75">
      <c r="A8" t="s">
        <v>360</v>
      </c>
      <c r="C8" s="92">
        <v>1</v>
      </c>
      <c r="E8" t="s">
        <v>398</v>
      </c>
      <c r="H8">
        <v>4</v>
      </c>
    </row>
    <row r="9" spans="1:7" ht="15.75">
      <c r="A9" t="s">
        <v>361</v>
      </c>
      <c r="C9" s="1"/>
      <c r="D9" s="3" t="s">
        <v>114</v>
      </c>
      <c r="E9" s="93">
        <v>300000</v>
      </c>
      <c r="F9" t="s">
        <v>373</v>
      </c>
      <c r="G9" t="s">
        <v>302</v>
      </c>
    </row>
    <row r="10" spans="1:7" ht="15.75">
      <c r="A10" t="s">
        <v>3</v>
      </c>
      <c r="E10" s="93">
        <v>1000</v>
      </c>
      <c r="F10" t="s">
        <v>2</v>
      </c>
      <c r="G10" t="s">
        <v>303</v>
      </c>
    </row>
    <row r="11" spans="5:7" ht="12.75">
      <c r="E11" s="93">
        <v>500</v>
      </c>
      <c r="F11" t="s">
        <v>2</v>
      </c>
      <c r="G11" t="s">
        <v>304</v>
      </c>
    </row>
    <row r="12" spans="5:7" ht="12.75">
      <c r="E12" s="93">
        <v>250</v>
      </c>
      <c r="F12" t="s">
        <v>2</v>
      </c>
      <c r="G12" t="s">
        <v>362</v>
      </c>
    </row>
    <row r="13" spans="1:7" ht="14.25">
      <c r="A13" t="s">
        <v>134</v>
      </c>
      <c r="D13" s="3" t="s">
        <v>135</v>
      </c>
      <c r="E13" s="93">
        <v>1000</v>
      </c>
      <c r="F13" t="s">
        <v>34</v>
      </c>
      <c r="G13" t="s">
        <v>305</v>
      </c>
    </row>
    <row r="14" ht="12.75">
      <c r="A14" s="2" t="s">
        <v>120</v>
      </c>
    </row>
    <row r="15" spans="1:12" ht="12.75">
      <c r="A15" s="27" t="s">
        <v>121</v>
      </c>
      <c r="B15" s="28"/>
      <c r="C15" s="29"/>
      <c r="D15" s="94">
        <v>5</v>
      </c>
      <c r="E15" s="94">
        <v>6</v>
      </c>
      <c r="F15" s="94">
        <v>7</v>
      </c>
      <c r="G15" s="94">
        <v>8</v>
      </c>
      <c r="H15" s="94">
        <v>9</v>
      </c>
      <c r="I15" s="94">
        <v>10</v>
      </c>
      <c r="J15" s="94">
        <v>11</v>
      </c>
      <c r="K15" s="94">
        <v>12</v>
      </c>
      <c r="L15" s="94">
        <v>13</v>
      </c>
    </row>
    <row r="16" spans="1:12" ht="12.75">
      <c r="A16" s="30"/>
      <c r="B16" s="31"/>
      <c r="C16" s="32" t="s">
        <v>41</v>
      </c>
      <c r="D16" s="95">
        <f>D15*1853/3600</f>
        <v>2.573611111111111</v>
      </c>
      <c r="E16" s="95">
        <f>E15*1853/3600</f>
        <v>3.0883333333333334</v>
      </c>
      <c r="F16" s="95">
        <f aca="true" t="shared" si="0" ref="F16:L16">F15*1853/3600</f>
        <v>3.6030555555555557</v>
      </c>
      <c r="G16" s="95">
        <f t="shared" si="0"/>
        <v>4.1177777777777775</v>
      </c>
      <c r="H16" s="95">
        <f t="shared" si="0"/>
        <v>4.6325</v>
      </c>
      <c r="I16" s="95">
        <f t="shared" si="0"/>
        <v>5.147222222222222</v>
      </c>
      <c r="J16" s="95">
        <f t="shared" si="0"/>
        <v>5.661944444444444</v>
      </c>
      <c r="K16" s="95">
        <f t="shared" si="0"/>
        <v>6.176666666666667</v>
      </c>
      <c r="L16" s="95">
        <f t="shared" si="0"/>
        <v>6.691388888888889</v>
      </c>
    </row>
    <row r="17" spans="1:12" ht="15.75">
      <c r="A17" s="24" t="s">
        <v>147</v>
      </c>
      <c r="B17" s="25"/>
      <c r="C17" s="26"/>
      <c r="D17" s="96">
        <v>5000</v>
      </c>
      <c r="E17" s="96">
        <v>6200</v>
      </c>
      <c r="F17" s="96">
        <v>8000</v>
      </c>
      <c r="G17" s="96">
        <v>11500</v>
      </c>
      <c r="H17" s="96">
        <v>16000</v>
      </c>
      <c r="I17" s="96">
        <v>20000</v>
      </c>
      <c r="J17" s="96">
        <v>24200</v>
      </c>
      <c r="K17" s="96">
        <v>29000</v>
      </c>
      <c r="L17" s="96">
        <v>34000</v>
      </c>
    </row>
    <row r="18" spans="1:12" ht="15.75">
      <c r="A18" s="24" t="s">
        <v>363</v>
      </c>
      <c r="B18" s="25"/>
      <c r="C18" s="26"/>
      <c r="D18" s="97">
        <f>D16*D17</f>
        <v>12868.055555555555</v>
      </c>
      <c r="E18" s="97">
        <f>E16*E17</f>
        <v>19147.666666666668</v>
      </c>
      <c r="F18" s="97">
        <f aca="true" t="shared" si="1" ref="F18:L18">F16*F17</f>
        <v>28824.444444444445</v>
      </c>
      <c r="G18" s="97">
        <f t="shared" si="1"/>
        <v>47354.444444444445</v>
      </c>
      <c r="H18" s="97">
        <f t="shared" si="1"/>
        <v>74120</v>
      </c>
      <c r="I18" s="97">
        <f t="shared" si="1"/>
        <v>102944.44444444444</v>
      </c>
      <c r="J18" s="97">
        <f t="shared" si="1"/>
        <v>137019.05555555553</v>
      </c>
      <c r="K18" s="97">
        <f t="shared" si="1"/>
        <v>179123.33333333334</v>
      </c>
      <c r="L18" s="97">
        <f t="shared" si="1"/>
        <v>227507.22222222222</v>
      </c>
    </row>
    <row r="19" spans="1:12" ht="12.75">
      <c r="A19" s="85" t="s">
        <v>374</v>
      </c>
      <c r="B19" s="25"/>
      <c r="C19" s="26"/>
      <c r="D19" s="97">
        <f>C8*E53</f>
        <v>181125</v>
      </c>
      <c r="E19" s="97">
        <f>C8*E53</f>
        <v>181125</v>
      </c>
      <c r="F19" s="97">
        <f>C8*E53</f>
        <v>181125</v>
      </c>
      <c r="G19" s="97">
        <f>C8*E53</f>
        <v>181125</v>
      </c>
      <c r="H19" s="97">
        <f>C8*E53</f>
        <v>181125</v>
      </c>
      <c r="I19" s="97">
        <f>C8*E53</f>
        <v>181125</v>
      </c>
      <c r="J19" s="97">
        <f>C8*E53</f>
        <v>181125</v>
      </c>
      <c r="K19" s="97">
        <f>C8*E53</f>
        <v>181125</v>
      </c>
      <c r="L19" s="97">
        <f>C8*E53</f>
        <v>181125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1.25" customHeight="1"/>
    <row r="35" spans="1:7" ht="15.75">
      <c r="A35" t="s">
        <v>6</v>
      </c>
      <c r="D35" s="3" t="s">
        <v>13</v>
      </c>
      <c r="E35" s="93">
        <v>0.3</v>
      </c>
      <c r="G35" t="s">
        <v>307</v>
      </c>
    </row>
    <row r="36" spans="4:5" ht="15.75">
      <c r="D36" s="3" t="s">
        <v>17</v>
      </c>
      <c r="E36" s="93">
        <v>-0.03</v>
      </c>
    </row>
    <row r="37" spans="4:5" ht="15.75">
      <c r="D37" s="3" t="s">
        <v>16</v>
      </c>
      <c r="E37" s="93">
        <v>0.06</v>
      </c>
    </row>
    <row r="38" spans="4:5" ht="15.75">
      <c r="D38" s="3" t="s">
        <v>18</v>
      </c>
      <c r="E38" s="93">
        <v>0</v>
      </c>
    </row>
    <row r="39" spans="4:7" ht="12.75">
      <c r="D39" s="3" t="s">
        <v>19</v>
      </c>
      <c r="E39">
        <f>SUM(E35:E38)</f>
        <v>0.33</v>
      </c>
      <c r="G39" t="s">
        <v>306</v>
      </c>
    </row>
    <row r="40" spans="1:8" ht="13.5">
      <c r="A40" t="s">
        <v>20</v>
      </c>
      <c r="D40" s="3" t="s">
        <v>19</v>
      </c>
      <c r="E40">
        <f>0.5*C5-0.05</f>
        <v>0.25</v>
      </c>
      <c r="G40" s="10" t="s">
        <v>366</v>
      </c>
      <c r="H40" t="s">
        <v>365</v>
      </c>
    </row>
    <row r="41" spans="2:8" ht="13.5">
      <c r="B41" t="s">
        <v>311</v>
      </c>
      <c r="D41" s="3"/>
      <c r="E41">
        <f>0.55*C5-0.2</f>
        <v>0.13</v>
      </c>
      <c r="G41" s="10" t="s">
        <v>367</v>
      </c>
      <c r="H41" t="s">
        <v>368</v>
      </c>
    </row>
    <row r="42" spans="1:7" ht="12.75">
      <c r="A42" t="s">
        <v>21</v>
      </c>
      <c r="D42" s="3" t="s">
        <v>19</v>
      </c>
      <c r="E42" s="93">
        <v>0.3</v>
      </c>
      <c r="G42" t="s">
        <v>308</v>
      </c>
    </row>
    <row r="43" spans="1:7" ht="12.75">
      <c r="A43" t="s">
        <v>22</v>
      </c>
      <c r="D43" s="3" t="s">
        <v>23</v>
      </c>
      <c r="E43" s="93">
        <v>0.24</v>
      </c>
      <c r="G43" t="s">
        <v>309</v>
      </c>
    </row>
    <row r="44" spans="1:8" ht="12.75">
      <c r="A44" t="s">
        <v>24</v>
      </c>
      <c r="D44" s="3" t="s">
        <v>23</v>
      </c>
      <c r="E44">
        <f>0.65*E42</f>
        <v>0.195</v>
      </c>
      <c r="G44" t="s">
        <v>35</v>
      </c>
      <c r="H44" t="s">
        <v>365</v>
      </c>
    </row>
    <row r="45" spans="2:8" ht="12.75">
      <c r="B45" t="s">
        <v>311</v>
      </c>
      <c r="D45" s="3"/>
      <c r="E45">
        <f>E41</f>
        <v>0.13</v>
      </c>
      <c r="G45" t="s">
        <v>369</v>
      </c>
      <c r="H45" t="s">
        <v>368</v>
      </c>
    </row>
    <row r="46" spans="1:5" ht="12.75">
      <c r="A46" t="s">
        <v>370</v>
      </c>
      <c r="D46" s="3" t="s">
        <v>23</v>
      </c>
      <c r="E46" s="93">
        <v>0.2</v>
      </c>
    </row>
    <row r="47" spans="1:7" ht="15.75">
      <c r="A47" s="5" t="s">
        <v>149</v>
      </c>
      <c r="D47" s="3" t="s">
        <v>150</v>
      </c>
      <c r="E47">
        <f>(1-E44)/(1-E42)</f>
        <v>1.15</v>
      </c>
      <c r="G47" t="s">
        <v>151</v>
      </c>
    </row>
    <row r="48" spans="1:5" ht="15.75">
      <c r="A48" s="10" t="s">
        <v>154</v>
      </c>
      <c r="D48" s="3" t="s">
        <v>148</v>
      </c>
      <c r="E48" s="93">
        <v>0.5</v>
      </c>
    </row>
    <row r="49" spans="1:7" ht="15.75">
      <c r="A49" s="5" t="s">
        <v>102</v>
      </c>
      <c r="D49" s="3" t="s">
        <v>104</v>
      </c>
      <c r="E49" s="93">
        <v>1.05</v>
      </c>
      <c r="G49" t="s">
        <v>103</v>
      </c>
    </row>
    <row r="50" spans="1:7" ht="12.75">
      <c r="A50" s="5"/>
      <c r="D50" s="3"/>
      <c r="E50" s="93">
        <v>1</v>
      </c>
      <c r="G50" t="s">
        <v>371</v>
      </c>
    </row>
    <row r="51" spans="1:7" ht="15.75">
      <c r="A51" s="5" t="s">
        <v>152</v>
      </c>
      <c r="D51" s="8" t="s">
        <v>372</v>
      </c>
      <c r="E51">
        <f>E48*E49*E47</f>
        <v>0.60375</v>
      </c>
      <c r="G51" t="s">
        <v>153</v>
      </c>
    </row>
    <row r="52" spans="1:7" ht="15.75">
      <c r="A52" s="5" t="s">
        <v>112</v>
      </c>
      <c r="D52" s="3" t="s">
        <v>113</v>
      </c>
      <c r="E52" s="93">
        <v>1</v>
      </c>
      <c r="G52" t="s">
        <v>310</v>
      </c>
    </row>
    <row r="53" spans="1:7" ht="15.75">
      <c r="A53" s="5" t="s">
        <v>364</v>
      </c>
      <c r="D53" s="3" t="s">
        <v>156</v>
      </c>
      <c r="E53" s="15">
        <f>E51*E52*E9</f>
        <v>181125</v>
      </c>
      <c r="F53" t="s">
        <v>122</v>
      </c>
      <c r="G53" t="s">
        <v>155</v>
      </c>
    </row>
    <row r="54" spans="1:8" ht="12.75">
      <c r="A54" t="s">
        <v>7</v>
      </c>
      <c r="D54" s="3" t="s">
        <v>4</v>
      </c>
      <c r="E54" s="93">
        <v>12</v>
      </c>
      <c r="F54" t="s">
        <v>5</v>
      </c>
      <c r="G54">
        <f>1853*E54/3600</f>
        <v>6.176666666666667</v>
      </c>
      <c r="H54" t="s">
        <v>41</v>
      </c>
    </row>
    <row r="55" spans="1:7" ht="15.75">
      <c r="A55" t="s">
        <v>25</v>
      </c>
      <c r="D55" s="3" t="s">
        <v>26</v>
      </c>
      <c r="E55">
        <f>E53/G54</f>
        <v>29324.069077172153</v>
      </c>
      <c r="F55" t="s">
        <v>27</v>
      </c>
      <c r="G55" t="s">
        <v>157</v>
      </c>
    </row>
    <row r="56" spans="1:7" ht="15.75">
      <c r="A56" t="s">
        <v>28</v>
      </c>
      <c r="D56" s="3" t="s">
        <v>29</v>
      </c>
      <c r="E56">
        <f>E55/(1-E46)</f>
        <v>36655.08634646519</v>
      </c>
      <c r="F56" t="s">
        <v>27</v>
      </c>
      <c r="G56" t="s">
        <v>36</v>
      </c>
    </row>
    <row r="57" spans="1:7" ht="12.75">
      <c r="A57" t="s">
        <v>30</v>
      </c>
      <c r="D57" s="3" t="s">
        <v>31</v>
      </c>
      <c r="E57" s="98">
        <v>0.02</v>
      </c>
      <c r="G57" t="s">
        <v>365</v>
      </c>
    </row>
    <row r="58" spans="2:7" ht="12.75">
      <c r="B58" t="s">
        <v>311</v>
      </c>
      <c r="E58" s="93">
        <v>0.01</v>
      </c>
      <c r="G58" t="s">
        <v>368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E39" formulaRange="1"/>
    <ignoredError sqref="F2:F4 E5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140625" defaultRowHeight="12.75"/>
  <cols>
    <col min="11" max="11" width="9.00390625" style="0" customWidth="1"/>
  </cols>
  <sheetData>
    <row r="1" ht="14.25">
      <c r="A1" s="2" t="s">
        <v>313</v>
      </c>
    </row>
    <row r="2" spans="1:7" ht="15.75">
      <c r="A2" s="5" t="s">
        <v>112</v>
      </c>
      <c r="D2" s="3" t="s">
        <v>113</v>
      </c>
      <c r="E2">
        <f>Adatok!E52</f>
        <v>1</v>
      </c>
      <c r="G2" t="s">
        <v>310</v>
      </c>
    </row>
    <row r="3" spans="1:7" ht="15.75">
      <c r="A3" s="5" t="s">
        <v>123</v>
      </c>
      <c r="D3" s="3" t="s">
        <v>110</v>
      </c>
      <c r="E3">
        <f>Adatok!E9*E2</f>
        <v>300000</v>
      </c>
      <c r="F3" s="10" t="s">
        <v>111</v>
      </c>
      <c r="G3" t="s">
        <v>124</v>
      </c>
    </row>
    <row r="4" spans="1:6" ht="15.75">
      <c r="A4" s="5" t="s">
        <v>375</v>
      </c>
      <c r="D4" s="3" t="s">
        <v>95</v>
      </c>
      <c r="E4">
        <f>Adatok!E10</f>
        <v>1000</v>
      </c>
      <c r="F4" s="10" t="s">
        <v>2</v>
      </c>
    </row>
    <row r="5" spans="1:7" ht="15.75">
      <c r="A5" s="5" t="s">
        <v>125</v>
      </c>
      <c r="D5" s="3" t="s">
        <v>97</v>
      </c>
      <c r="E5" s="15">
        <f>E3*60/(2*PI()*E4)</f>
        <v>2864.7889756541163</v>
      </c>
      <c r="F5" t="s">
        <v>98</v>
      </c>
      <c r="G5" t="s">
        <v>126</v>
      </c>
    </row>
    <row r="6" spans="1:7" ht="15.75">
      <c r="A6" s="5" t="s">
        <v>102</v>
      </c>
      <c r="D6" s="3" t="s">
        <v>104</v>
      </c>
      <c r="E6">
        <f>Adatok!E49</f>
        <v>1.05</v>
      </c>
      <c r="G6" t="s">
        <v>314</v>
      </c>
    </row>
    <row r="7" spans="1:7" ht="15.75">
      <c r="A7" s="5" t="s">
        <v>127</v>
      </c>
      <c r="D7" s="3" t="s">
        <v>128</v>
      </c>
      <c r="E7">
        <f>E6*E5</f>
        <v>3008.028424436822</v>
      </c>
      <c r="F7" t="s">
        <v>98</v>
      </c>
      <c r="G7" t="s">
        <v>129</v>
      </c>
    </row>
    <row r="8" spans="1:11" ht="15.75">
      <c r="A8" t="s">
        <v>377</v>
      </c>
      <c r="D8" s="3" t="s">
        <v>119</v>
      </c>
      <c r="E8" t="s">
        <v>381</v>
      </c>
      <c r="G8" t="s">
        <v>131</v>
      </c>
      <c r="H8" t="s">
        <v>130</v>
      </c>
      <c r="K8" s="12"/>
    </row>
    <row r="9" spans="1:11" ht="15.75">
      <c r="A9" t="s">
        <v>38</v>
      </c>
      <c r="D9" s="3" t="s">
        <v>40</v>
      </c>
      <c r="E9">
        <f>Adatok!G54*(1-Adatok!E42)</f>
        <v>4.323666666666666</v>
      </c>
      <c r="F9" t="s">
        <v>41</v>
      </c>
      <c r="G9" t="s">
        <v>39</v>
      </c>
      <c r="K9" s="12"/>
    </row>
    <row r="10" spans="1:7" ht="15.75">
      <c r="A10" t="s">
        <v>379</v>
      </c>
      <c r="D10" s="3" t="s">
        <v>44</v>
      </c>
      <c r="E10" t="s">
        <v>380</v>
      </c>
      <c r="G10" t="s">
        <v>43</v>
      </c>
    </row>
    <row r="11" spans="1:7" ht="12.75">
      <c r="A11" t="s">
        <v>376</v>
      </c>
      <c r="D11" s="3"/>
      <c r="G11" t="s">
        <v>378</v>
      </c>
    </row>
    <row r="12" spans="1:4" ht="15.75">
      <c r="A12" t="s">
        <v>315</v>
      </c>
      <c r="D12" s="3"/>
    </row>
    <row r="13" spans="1:7" ht="12.75">
      <c r="A13" s="35" t="s">
        <v>51</v>
      </c>
      <c r="B13" s="35">
        <v>1</v>
      </c>
      <c r="C13" s="35">
        <v>1.1</v>
      </c>
      <c r="D13" s="35">
        <v>1.2</v>
      </c>
      <c r="E13" s="35">
        <v>1.3</v>
      </c>
      <c r="F13" s="35">
        <v>1.4</v>
      </c>
      <c r="G13" s="35">
        <v>1.5</v>
      </c>
    </row>
    <row r="14" spans="1:7" ht="15.75">
      <c r="A14" s="35" t="s">
        <v>49</v>
      </c>
      <c r="B14" s="33">
        <f>E7*POWER(60*(1+Adatok!E57),2)/(Adatok!E13*POWER(E4,2)*POWER(B13,5))</f>
        <v>0.011266389982022652</v>
      </c>
      <c r="C14" s="33">
        <f>E7*POWER(60*(1+Adatok!E57),2)/(Adatok!E13*POWER(E4,2)*POWER(C13,5))</f>
        <v>0.006995541773737915</v>
      </c>
      <c r="D14" s="33">
        <f>E7*POWER(60*(1+Adatok!E57),2)/(Adatok!E13*POWER(E4,2)*POWER(D13,5))</f>
        <v>0.004527709451365842</v>
      </c>
      <c r="E14" s="33">
        <f>E7*POWER(60*(1+Adatok!E57),2)/(Adatok!E13*POWER(E4,2)*POWER(E13,5))</f>
        <v>0.0030343663850443316</v>
      </c>
      <c r="F14" s="33">
        <f>E7*POWER(60*(1+Adatok!E57),2)/(Adatok!E13*POWER(E4,2)*POWER(F13,5))</f>
        <v>0.0020948098229202593</v>
      </c>
      <c r="G14" s="33">
        <f>E7*POWER(60*(1+Adatok!E57),2)/(Adatok!E13*POWER(E4,2)*POWER(G13,5))</f>
        <v>0.0014836398330235591</v>
      </c>
    </row>
    <row r="15" spans="1:7" ht="12.75">
      <c r="A15" s="35" t="s">
        <v>47</v>
      </c>
      <c r="B15" s="33">
        <f>Adatok!G54*(1-Adatok!E42)*60*(1+Adatok!E57)/(E4*B13)</f>
        <v>0.26460839999999997</v>
      </c>
      <c r="C15" s="33">
        <f>Adatok!G54*(1-Adatok!E42)*60*(1+Adatok!E57)/(E4*C13)</f>
        <v>0.24055309090909088</v>
      </c>
      <c r="D15" s="33">
        <f>Adatok!G54*(1-Adatok!E42)*60*(1+Adatok!E57)/(E4*D13)</f>
        <v>0.22050699999999998</v>
      </c>
      <c r="E15" s="33">
        <f>Adatok!G54*(1-Adatok!E42)*60*(1+Adatok!E57)/(E4*E13)</f>
        <v>0.20354492307692304</v>
      </c>
      <c r="F15" s="33">
        <f>Adatok!G54*(1-Adatok!E42)*60*(1+Adatok!E57)/(E4*F13)</f>
        <v>0.18900599999999998</v>
      </c>
      <c r="G15" s="33">
        <f>Adatok!G54*(1-Adatok!E42)*60*(1+Adatok!E57)/(E4*G13)</f>
        <v>0.17640559999999997</v>
      </c>
    </row>
    <row r="16" spans="1:7" ht="12.75">
      <c r="A16" s="35" t="s">
        <v>48</v>
      </c>
      <c r="B16" s="96">
        <v>0.45</v>
      </c>
      <c r="C16" s="96">
        <v>0.43</v>
      </c>
      <c r="D16" s="96">
        <v>0.4</v>
      </c>
      <c r="E16" s="96">
        <v>0.36</v>
      </c>
      <c r="F16" s="96">
        <v>0.31</v>
      </c>
      <c r="G16" s="96">
        <v>0.25</v>
      </c>
    </row>
    <row r="17" spans="1:7" ht="15.75">
      <c r="A17" s="35" t="s">
        <v>46</v>
      </c>
      <c r="B17" s="96">
        <v>0.00095</v>
      </c>
      <c r="C17" s="96">
        <v>0.0008</v>
      </c>
      <c r="D17" s="96">
        <v>0.00065</v>
      </c>
      <c r="E17" s="96">
        <v>0.0005</v>
      </c>
      <c r="F17" s="96">
        <v>0.00035</v>
      </c>
      <c r="G17" s="96">
        <v>0.0002</v>
      </c>
    </row>
    <row r="18" spans="1:8" ht="15.75">
      <c r="A18" s="35" t="s">
        <v>50</v>
      </c>
      <c r="B18" s="33">
        <f aca="true" t="shared" si="0" ref="B18:G18">(B15/2*PI())*(B17*10/B14)</f>
        <v>0.3504792646545963</v>
      </c>
      <c r="C18" s="33">
        <f t="shared" si="0"/>
        <v>0.4321151085311954</v>
      </c>
      <c r="D18" s="33">
        <f t="shared" si="0"/>
        <v>0.4972526021811064</v>
      </c>
      <c r="E18" s="33">
        <f t="shared" si="0"/>
        <v>0.5268441198842067</v>
      </c>
      <c r="F18" s="33">
        <f t="shared" si="0"/>
        <v>0.49604252640419355</v>
      </c>
      <c r="G18" s="33">
        <f t="shared" si="0"/>
        <v>0.3735371110134513</v>
      </c>
      <c r="H18" t="s">
        <v>316</v>
      </c>
    </row>
    <row r="37" spans="1:8" ht="15.75">
      <c r="A37" t="s">
        <v>52</v>
      </c>
      <c r="D37" s="3" t="s">
        <v>53</v>
      </c>
      <c r="E37" s="3" t="s">
        <v>54</v>
      </c>
      <c r="F37">
        <f>0.95*D13</f>
        <v>1.14</v>
      </c>
      <c r="G37" t="s">
        <v>0</v>
      </c>
      <c r="H37" t="s">
        <v>317</v>
      </c>
    </row>
    <row r="38" ht="15.75">
      <c r="A38" t="s">
        <v>318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cols>
    <col min="11" max="11" width="9.421875" style="0" customWidth="1"/>
  </cols>
  <sheetData>
    <row r="1" ht="14.25">
      <c r="A1" s="2" t="s">
        <v>382</v>
      </c>
    </row>
    <row r="2" spans="1:6" ht="15.75">
      <c r="A2" s="5" t="s">
        <v>385</v>
      </c>
      <c r="D2" t="s">
        <v>353</v>
      </c>
      <c r="E2" s="14">
        <f>Adatok!C6</f>
        <v>1.5</v>
      </c>
      <c r="F2" t="s">
        <v>0</v>
      </c>
    </row>
    <row r="3" spans="1:7" s="5" customFormat="1" ht="15.75">
      <c r="A3" s="5" t="s">
        <v>96</v>
      </c>
      <c r="D3" s="3" t="s">
        <v>29</v>
      </c>
      <c r="E3" s="16">
        <f>Adatok!E55/(1-Adatok!E46)</f>
        <v>36655.08634646519</v>
      </c>
      <c r="F3" s="5" t="s">
        <v>27</v>
      </c>
      <c r="G3" s="5" t="s">
        <v>136</v>
      </c>
    </row>
    <row r="4" spans="1:7" ht="15.75">
      <c r="A4" t="s">
        <v>383</v>
      </c>
      <c r="D4" s="3" t="s">
        <v>33</v>
      </c>
      <c r="E4" t="s">
        <v>319</v>
      </c>
      <c r="G4" t="s">
        <v>37</v>
      </c>
    </row>
    <row r="5" spans="1:12" ht="15.75">
      <c r="A5" t="s">
        <v>38</v>
      </c>
      <c r="D5" s="3" t="s">
        <v>40</v>
      </c>
      <c r="E5">
        <f>Adatok!G54*(1-Adatok!E42)</f>
        <v>4.323666666666666</v>
      </c>
      <c r="F5" t="s">
        <v>41</v>
      </c>
      <c r="G5" t="s">
        <v>39</v>
      </c>
      <c r="K5" s="3"/>
      <c r="L5" s="3"/>
    </row>
    <row r="6" spans="1:11" ht="15.75">
      <c r="A6" t="s">
        <v>384</v>
      </c>
      <c r="D6" s="3" t="s">
        <v>44</v>
      </c>
      <c r="E6" t="s">
        <v>320</v>
      </c>
      <c r="G6" t="s">
        <v>43</v>
      </c>
      <c r="K6" s="7"/>
    </row>
    <row r="7" spans="4:11" ht="12.75">
      <c r="D7" s="3"/>
      <c r="K7" s="7"/>
    </row>
    <row r="8" ht="15.75">
      <c r="A8" t="s">
        <v>387</v>
      </c>
    </row>
    <row r="9" spans="1:5" ht="15.75">
      <c r="A9" s="35" t="s">
        <v>45</v>
      </c>
      <c r="B9" s="35">
        <v>1000</v>
      </c>
      <c r="C9" s="35">
        <v>750</v>
      </c>
      <c r="D9" s="35">
        <v>500</v>
      </c>
      <c r="E9" s="35">
        <v>250</v>
      </c>
    </row>
    <row r="10" spans="1:5" ht="15.75">
      <c r="A10" s="35" t="s">
        <v>46</v>
      </c>
      <c r="B10" s="33">
        <f>E3*POWER(60*(1+Adatok!E57),2)/(Adatok!E13*POWER(B9,2)*POWER(E2,4))</f>
        <v>0.02711889908256881</v>
      </c>
      <c r="C10" s="33">
        <f>E3*POWER(60*(1+Adatok!E57),2)/(Adatok!E13*POWER(C9,2)*POWER(E2,4))</f>
        <v>0.048211376146789</v>
      </c>
      <c r="D10" s="33">
        <f>E3*POWER(60*(1+Adatok!E57),2)/(Adatok!E13*POWER(D9,2)*POWER(E2,4))</f>
        <v>0.10847559633027525</v>
      </c>
      <c r="E10" s="33">
        <f>E3*POWER(60*(1+Adatok!E57),2)/(Adatok!E13*POWER(E9,2)*POWER(E2,4))</f>
        <v>0.433902385321101</v>
      </c>
    </row>
    <row r="11" spans="1:5" ht="12.75">
      <c r="A11" s="35" t="s">
        <v>47</v>
      </c>
      <c r="B11" s="33">
        <f>E5*60*(1+Adatok!E57)/(B9*E2)</f>
        <v>0.17640559999999997</v>
      </c>
      <c r="C11" s="33">
        <f>E5*60*(1+Adatok!E57)/(C9*E2)</f>
        <v>0.23520746666666664</v>
      </c>
      <c r="D11" s="33">
        <f>E5*60*(1+Adatok!E57)/(D9*E2)</f>
        <v>0.35281119999999994</v>
      </c>
      <c r="E11" s="33">
        <f>E5*60*(1+Adatok!E57)/(E9*E2)</f>
        <v>0.7056223999999999</v>
      </c>
    </row>
    <row r="12" spans="1:5" ht="12.75">
      <c r="A12" s="35" t="s">
        <v>48</v>
      </c>
      <c r="B12" s="96">
        <v>0.1</v>
      </c>
      <c r="C12" s="99">
        <v>0.35</v>
      </c>
      <c r="D12" s="96">
        <v>0.58</v>
      </c>
      <c r="E12" s="93">
        <v>1.7</v>
      </c>
    </row>
    <row r="13" spans="1:5" ht="15.75">
      <c r="A13" s="35" t="s">
        <v>49</v>
      </c>
      <c r="B13" s="96">
        <v>0.03</v>
      </c>
      <c r="C13" s="99">
        <v>0.05</v>
      </c>
      <c r="D13" s="99">
        <v>0.14</v>
      </c>
      <c r="E13" s="96">
        <v>1.08</v>
      </c>
    </row>
    <row r="14" spans="1:6" ht="15.75">
      <c r="A14" s="35" t="s">
        <v>50</v>
      </c>
      <c r="B14" s="96">
        <v>0.25</v>
      </c>
      <c r="C14" s="96">
        <v>0.45</v>
      </c>
      <c r="D14" s="96">
        <v>0.5</v>
      </c>
      <c r="E14" s="96">
        <v>0.45</v>
      </c>
      <c r="F14" t="s">
        <v>386</v>
      </c>
    </row>
    <row r="15" ht="15.75">
      <c r="G15" t="s">
        <v>388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9.140625" defaultRowHeight="12.75"/>
  <cols>
    <col min="11" max="11" width="9.421875" style="0" customWidth="1"/>
  </cols>
  <sheetData>
    <row r="1" ht="12.75">
      <c r="A1" s="2" t="s">
        <v>322</v>
      </c>
    </row>
    <row r="2" spans="1:7" s="5" customFormat="1" ht="15.75">
      <c r="A2" s="5" t="s">
        <v>96</v>
      </c>
      <c r="D2" s="3" t="s">
        <v>29</v>
      </c>
      <c r="E2" s="5">
        <f>Adatok!E55/(Adatok!C8*(1-Adatok!E46))</f>
        <v>36655.08634646519</v>
      </c>
      <c r="F2" s="5" t="s">
        <v>27</v>
      </c>
      <c r="G2" s="5" t="s">
        <v>136</v>
      </c>
    </row>
    <row r="3" spans="1:6" s="5" customFormat="1" ht="15.75">
      <c r="A3" s="5" t="s">
        <v>390</v>
      </c>
      <c r="D3" s="3" t="s">
        <v>95</v>
      </c>
      <c r="E3" s="100">
        <v>500</v>
      </c>
      <c r="F3" s="5" t="s">
        <v>2</v>
      </c>
    </row>
    <row r="4" spans="1:8" ht="15.75">
      <c r="A4" t="s">
        <v>392</v>
      </c>
      <c r="D4" s="3" t="s">
        <v>33</v>
      </c>
      <c r="E4" t="s">
        <v>323</v>
      </c>
      <c r="G4" t="s">
        <v>37</v>
      </c>
      <c r="H4" s="86" t="s">
        <v>389</v>
      </c>
    </row>
    <row r="5" spans="1:12" ht="15.75">
      <c r="A5" t="s">
        <v>38</v>
      </c>
      <c r="D5" s="3" t="s">
        <v>40</v>
      </c>
      <c r="E5">
        <f>Adatok!G54*(1-Adatok!E42)</f>
        <v>4.323666666666666</v>
      </c>
      <c r="F5" t="s">
        <v>41</v>
      </c>
      <c r="G5" t="s">
        <v>39</v>
      </c>
      <c r="K5" s="3"/>
      <c r="L5" s="3"/>
    </row>
    <row r="6" spans="1:7" ht="15.75">
      <c r="A6" t="s">
        <v>379</v>
      </c>
      <c r="D6" s="3" t="s">
        <v>44</v>
      </c>
      <c r="E6" t="s">
        <v>324</v>
      </c>
      <c r="G6" t="s">
        <v>43</v>
      </c>
    </row>
    <row r="7" spans="1:6" ht="12.75">
      <c r="A7" t="s">
        <v>391</v>
      </c>
      <c r="D7" s="3"/>
      <c r="F7" t="s">
        <v>378</v>
      </c>
    </row>
    <row r="8" spans="1:4" ht="15.75">
      <c r="A8" t="s">
        <v>321</v>
      </c>
      <c r="D8" s="3"/>
    </row>
    <row r="9" spans="1:8" ht="12.75">
      <c r="A9" s="35" t="s">
        <v>51</v>
      </c>
      <c r="B9" s="35">
        <v>1</v>
      </c>
      <c r="C9" s="35">
        <v>1.1</v>
      </c>
      <c r="D9" s="35">
        <v>1.2</v>
      </c>
      <c r="E9" s="35">
        <v>1.3</v>
      </c>
      <c r="F9" s="35">
        <v>1.4</v>
      </c>
      <c r="G9" s="35">
        <v>1.5</v>
      </c>
      <c r="H9" s="35">
        <v>1.6</v>
      </c>
    </row>
    <row r="10" spans="1:8" ht="15.75">
      <c r="A10" s="35" t="s">
        <v>46</v>
      </c>
      <c r="B10" s="33">
        <f>E2*POWER(60*(1+Adatok!E57),2)/(Adatok!E13*POWER(E3,2)*POWER(B9,4))</f>
        <v>0.5491577064220184</v>
      </c>
      <c r="C10" s="33">
        <f>E2*POWER(60*(1+Adatok!E57),2)/(Adatok!E13*POWER(E3,2)*POWER(C9,4))</f>
        <v>0.37508210260365976</v>
      </c>
      <c r="D10" s="33">
        <f>E2*POWER(60*(1+Adatok!E57),2)/(Adatok!E13*POWER(E3,2)*POWER(D9,4))</f>
        <v>0.26483299885321104</v>
      </c>
      <c r="E10" s="33">
        <f>E2*POWER(60*(1+Adatok!E57),2)/(Adatok!E13*POWER(E3,2)*POWER(E9,4))</f>
        <v>0.19227537776058903</v>
      </c>
      <c r="F10" s="33">
        <f>E2*POWER(60*(1+Adatok!E57),2)/(Adatok!E13*POWER(E3,2)*POWER(F9,4))</f>
        <v>0.14295025677374495</v>
      </c>
      <c r="G10" s="33">
        <f>E2*POWER(60*(1+Adatok!E57),2)/(Adatok!E13*POWER(E3,2)*POWER(G9,4))</f>
        <v>0.10847559633027525</v>
      </c>
      <c r="H10" s="33">
        <f>E2*POWER(60*(1+Adatok!E57),2)/(Adatok!E13*POWER(E3,2)*POWER(H9,4))</f>
        <v>0.08379481604339876</v>
      </c>
    </row>
    <row r="11" spans="1:8" ht="12.75">
      <c r="A11" s="35" t="s">
        <v>47</v>
      </c>
      <c r="B11" s="33">
        <f>E5*60*(1+Adatok!E57)/(E3*B9)</f>
        <v>0.5292167999999999</v>
      </c>
      <c r="C11" s="33">
        <f>E5*60*(1+Adatok!E57)/(E3*C9)</f>
        <v>0.48110618181818177</v>
      </c>
      <c r="D11" s="33">
        <f>E5*60*(1+Adatok!E57)/(E3*D9)</f>
        <v>0.44101399999999996</v>
      </c>
      <c r="E11" s="33">
        <f>E5*60*(1+Adatok!E57)/(E3*E9)</f>
        <v>0.4070898461538461</v>
      </c>
      <c r="F11" s="33">
        <f>E5*60*(1+Adatok!E57)/(E3*F9)</f>
        <v>0.37801199999999996</v>
      </c>
      <c r="G11" s="33">
        <f>E5*60*(1+Adatok!E57)/(E3*G9)</f>
        <v>0.35281119999999994</v>
      </c>
      <c r="H11" s="33">
        <f>E5*60*(1+Adatok!E57)/(E3*H9)</f>
        <v>0.33076049999999996</v>
      </c>
    </row>
    <row r="12" spans="1:8" ht="12.75">
      <c r="A12" s="35" t="s">
        <v>48</v>
      </c>
      <c r="B12" s="96">
        <v>1.8</v>
      </c>
      <c r="C12" s="101">
        <v>1.25</v>
      </c>
      <c r="D12" s="96">
        <v>0.95</v>
      </c>
      <c r="E12" s="96">
        <v>0.77</v>
      </c>
      <c r="F12" s="96">
        <v>0.66</v>
      </c>
      <c r="G12" s="96">
        <v>0.53</v>
      </c>
      <c r="H12" s="96">
        <v>0.45</v>
      </c>
    </row>
    <row r="13" spans="1:8" ht="15.75">
      <c r="A13" s="35" t="s">
        <v>49</v>
      </c>
      <c r="B13" s="96">
        <v>1.1</v>
      </c>
      <c r="C13" s="101">
        <v>0.67</v>
      </c>
      <c r="D13" s="96">
        <v>0.38</v>
      </c>
      <c r="E13" s="96">
        <v>0.26</v>
      </c>
      <c r="F13" s="96">
        <v>0.18</v>
      </c>
      <c r="G13" s="96">
        <v>0.11</v>
      </c>
      <c r="H13" s="96">
        <v>0.08</v>
      </c>
    </row>
    <row r="14" spans="1:8" ht="15.75">
      <c r="A14" s="35" t="s">
        <v>50</v>
      </c>
      <c r="B14" s="96">
        <v>0.33</v>
      </c>
      <c r="C14" s="102">
        <v>0.41</v>
      </c>
      <c r="D14" s="96">
        <v>0.45</v>
      </c>
      <c r="E14" s="96">
        <v>0.49</v>
      </c>
      <c r="F14" s="96">
        <v>0.5</v>
      </c>
      <c r="G14" s="96">
        <v>0.51</v>
      </c>
      <c r="H14" s="96">
        <v>0.5</v>
      </c>
    </row>
    <row r="32" spans="1:6" ht="15.75">
      <c r="A32" t="s">
        <v>137</v>
      </c>
      <c r="D32" s="3" t="s">
        <v>138</v>
      </c>
      <c r="E32" s="93">
        <v>1.55</v>
      </c>
      <c r="F32" t="s">
        <v>0</v>
      </c>
    </row>
    <row r="33" spans="1:8" ht="15.75">
      <c r="A33" t="s">
        <v>52</v>
      </c>
      <c r="D33" s="3" t="s">
        <v>53</v>
      </c>
      <c r="E33" s="3" t="s">
        <v>54</v>
      </c>
      <c r="F33">
        <f>0.95*E32</f>
        <v>1.4725</v>
      </c>
      <c r="G33" t="s">
        <v>0</v>
      </c>
      <c r="H33" t="s">
        <v>325</v>
      </c>
    </row>
    <row r="34" ht="15.75">
      <c r="A34" t="s">
        <v>318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5" max="5" width="9.8515625" style="0" customWidth="1"/>
  </cols>
  <sheetData>
    <row r="1" ht="14.25">
      <c r="A1" s="2" t="s">
        <v>326</v>
      </c>
    </row>
    <row r="2" spans="1:6" ht="12.75">
      <c r="A2" t="s">
        <v>87</v>
      </c>
      <c r="D2" s="3" t="s">
        <v>88</v>
      </c>
      <c r="E2" s="14">
        <f>Adatok!C6</f>
        <v>1.5</v>
      </c>
      <c r="F2" t="s">
        <v>0</v>
      </c>
    </row>
    <row r="3" spans="1:6" ht="15.75">
      <c r="A3" t="s">
        <v>94</v>
      </c>
      <c r="D3" s="3" t="s">
        <v>95</v>
      </c>
      <c r="E3" s="68">
        <f>'kiválasztás RT-T-KT-Dopt'!E3</f>
        <v>500</v>
      </c>
      <c r="F3" t="s">
        <v>2</v>
      </c>
    </row>
    <row r="4" spans="1:7" ht="15.75">
      <c r="A4" t="s">
        <v>96</v>
      </c>
      <c r="D4" s="3" t="s">
        <v>29</v>
      </c>
      <c r="E4" s="68">
        <f>Adatok!E55/(1-Adatok!E46)</f>
        <v>36655.08634646519</v>
      </c>
      <c r="F4" t="s">
        <v>27</v>
      </c>
      <c r="G4" s="5" t="s">
        <v>136</v>
      </c>
    </row>
    <row r="5" spans="1:7" ht="15.75">
      <c r="A5" t="s">
        <v>32</v>
      </c>
      <c r="D5" s="3" t="s">
        <v>33</v>
      </c>
      <c r="E5" s="4">
        <f>E4*POWER(60*(1+Adatok!E57),2)/(Adatok!E13*POWER(E3,2)*POWER(E2,4))</f>
        <v>0.10847559633027525</v>
      </c>
      <c r="G5" s="5" t="s">
        <v>117</v>
      </c>
    </row>
    <row r="6" spans="1:7" ht="15.75">
      <c r="A6" t="s">
        <v>42</v>
      </c>
      <c r="D6" s="3" t="s">
        <v>44</v>
      </c>
      <c r="E6" s="4">
        <f>Adatok!G54*(1-Adatok!E42)*60*(1+Adatok!E57)/(E3*E2)</f>
        <v>0.35281119999999994</v>
      </c>
      <c r="G6" t="s">
        <v>43</v>
      </c>
    </row>
    <row r="7" spans="1:7" ht="15.75">
      <c r="A7" t="s">
        <v>92</v>
      </c>
      <c r="D7" s="3" t="s">
        <v>93</v>
      </c>
      <c r="E7" s="93">
        <v>0.53</v>
      </c>
      <c r="G7" t="s">
        <v>116</v>
      </c>
    </row>
    <row r="8" spans="1:7" ht="12.75">
      <c r="A8" t="s">
        <v>89</v>
      </c>
      <c r="D8" s="3" t="s">
        <v>90</v>
      </c>
      <c r="E8" s="14">
        <f>E2*E7</f>
        <v>0.795</v>
      </c>
      <c r="F8" t="s">
        <v>0</v>
      </c>
      <c r="G8" t="s">
        <v>91</v>
      </c>
    </row>
    <row r="9" spans="1:7" ht="15.75">
      <c r="A9" t="s">
        <v>85</v>
      </c>
      <c r="D9" s="3" t="s">
        <v>86</v>
      </c>
      <c r="E9" s="103">
        <v>1</v>
      </c>
      <c r="G9" t="s">
        <v>327</v>
      </c>
    </row>
    <row r="10" spans="1:4" ht="13.5" customHeight="1">
      <c r="A10" s="13" t="s">
        <v>145</v>
      </c>
      <c r="D10" s="3"/>
    </row>
    <row r="11" spans="1:9" ht="12.75">
      <c r="A11" s="36" t="s">
        <v>141</v>
      </c>
      <c r="B11" s="25"/>
      <c r="C11" s="26"/>
      <c r="D11" s="33">
        <v>9</v>
      </c>
      <c r="E11" s="33">
        <v>10</v>
      </c>
      <c r="F11" s="33">
        <v>11</v>
      </c>
      <c r="G11" s="33">
        <v>12</v>
      </c>
      <c r="H11" s="33">
        <v>13</v>
      </c>
      <c r="I11" s="33">
        <v>14</v>
      </c>
    </row>
    <row r="12" spans="1:9" ht="12.75">
      <c r="A12" s="37" t="s">
        <v>142</v>
      </c>
      <c r="B12" s="25"/>
      <c r="C12" s="26"/>
      <c r="D12" s="33">
        <f>D11*(1853/3600)*(1-Adatok!E42)*60*(1+Adatok!E57)/(E3*E2)</f>
        <v>0.26460839999999997</v>
      </c>
      <c r="E12" s="33">
        <f>E11*(1853/3600)*(1-Adatok!E42)*60*(1+Adatok!E57)/(E3*E2)</f>
        <v>0.2940093333333333</v>
      </c>
      <c r="F12" s="33">
        <f>F11*(1853/3600)*(1-Adatok!E42)*60*(1+Adatok!E57)/(E3*E2)</f>
        <v>0.3234102666666666</v>
      </c>
      <c r="G12" s="33">
        <f>G11*(1853/3600)*(1-Adatok!E42)*60*(1+Adatok!E57)/(E3*E2)</f>
        <v>0.35281119999999994</v>
      </c>
      <c r="H12" s="33">
        <f>H11*(1853/3600)*(1-Adatok!E42)*60*(1+Adatok!E57)/(E3*E2)</f>
        <v>0.3822121333333333</v>
      </c>
      <c r="I12" s="33">
        <f>I11*(1853/3600)*(1-Adatok!E42)*60*(1+Adatok!E57)/(E3*E2)</f>
        <v>0.41161306666666664</v>
      </c>
    </row>
    <row r="13" spans="1:9" ht="15.75">
      <c r="A13" s="37" t="s">
        <v>143</v>
      </c>
      <c r="B13" s="25"/>
      <c r="C13" s="26"/>
      <c r="D13" s="96">
        <v>0.14</v>
      </c>
      <c r="E13" s="96">
        <v>0.125</v>
      </c>
      <c r="F13" s="96">
        <v>0.113</v>
      </c>
      <c r="G13" s="96">
        <v>0.1</v>
      </c>
      <c r="H13" s="96">
        <v>0.09</v>
      </c>
      <c r="I13" s="96">
        <v>0.08</v>
      </c>
    </row>
    <row r="14" spans="1:9" ht="12.75">
      <c r="A14" s="37" t="s">
        <v>146</v>
      </c>
      <c r="B14" s="25"/>
      <c r="C14" s="26"/>
      <c r="D14" s="34">
        <f>D13*Adatok!E13*POWER(E3/(60*(1+Adatok!E57)),2)*POWER(E2,4)</f>
        <v>47307.52595155708</v>
      </c>
      <c r="E14" s="34">
        <f>E13*Adatok!E13*POWER(E3/(60*(1+Adatok!E57)),2)*POWER(E2,4)</f>
        <v>42238.862456747396</v>
      </c>
      <c r="F14" s="39">
        <f>F13*Adatok!E13*POWER(E3/(60*(1+Adatok!E57)),2)*POWER(E2,4)</f>
        <v>38183.931660899645</v>
      </c>
      <c r="G14" s="34">
        <f>G13*Adatok!E13*POWER(E3/(60*(1+Adatok!E57)),2)*POWER(E2,4)</f>
        <v>33791.089965397914</v>
      </c>
      <c r="H14" s="34">
        <f>H13*Adatok!E13*POWER(E3/(60*(1+Adatok!E57)),2)*POWER(E2,4)</f>
        <v>30411.980968858126</v>
      </c>
      <c r="I14" s="34">
        <f>I13*Adatok!E13*POWER(E3/(60*(1+Adatok!E57)),2)*POWER(E2,4)</f>
        <v>27032.87197231833</v>
      </c>
    </row>
    <row r="15" spans="1:9" ht="12.75">
      <c r="A15" s="37" t="s">
        <v>393</v>
      </c>
      <c r="B15" s="38"/>
      <c r="C15" s="26"/>
      <c r="D15" s="34">
        <f>D14*Adatok!C8*(1-Adatok!E46)</f>
        <v>37846.020761245665</v>
      </c>
      <c r="E15" s="34">
        <f>E14*Adatok!C8*(1-Adatok!E46)</f>
        <v>33791.08996539792</v>
      </c>
      <c r="F15" s="34">
        <f>F14*Adatok!C8*(1-Adatok!E46)</f>
        <v>30547.14532871972</v>
      </c>
      <c r="G15" s="34">
        <f>G14*Adatok!C8*(1-Adatok!E46)</f>
        <v>27032.87197231833</v>
      </c>
      <c r="H15" s="34">
        <f>H14*Adatok!C8*(1-Adatok!E46)</f>
        <v>24329.584775086503</v>
      </c>
      <c r="I15" s="34">
        <f>I14*Adatok!C8*(1-Adatok!E46)</f>
        <v>21626.297577854668</v>
      </c>
    </row>
    <row r="16" spans="1:9" ht="15.75">
      <c r="A16" s="87" t="s">
        <v>394</v>
      </c>
      <c r="C16" s="26"/>
      <c r="D16" s="96">
        <v>16000</v>
      </c>
      <c r="E16" s="96">
        <v>20000</v>
      </c>
      <c r="F16" s="96">
        <v>24200</v>
      </c>
      <c r="G16" s="96">
        <v>29000</v>
      </c>
      <c r="H16" s="96">
        <v>34000</v>
      </c>
      <c r="I16" s="96">
        <v>40000</v>
      </c>
    </row>
    <row r="17" spans="4:7" ht="12.75">
      <c r="D17" s="3"/>
      <c r="G17" s="5"/>
    </row>
    <row r="18" spans="4:7" ht="12.75">
      <c r="D18" s="3"/>
      <c r="G18" s="5"/>
    </row>
    <row r="19" spans="4:7" ht="12.75">
      <c r="D19" s="3"/>
      <c r="G19" s="5"/>
    </row>
    <row r="20" spans="4:7" ht="12.75">
      <c r="D20" s="3"/>
      <c r="G20" s="5"/>
    </row>
    <row r="21" spans="4:7" ht="12.75">
      <c r="D21" s="3"/>
      <c r="G21" s="5"/>
    </row>
    <row r="22" spans="4:7" ht="12.75">
      <c r="D22" s="3"/>
      <c r="G22" s="5"/>
    </row>
    <row r="23" spans="4:7" ht="12.75">
      <c r="D23" s="3"/>
      <c r="G23" s="5"/>
    </row>
    <row r="24" spans="4:7" ht="12.75">
      <c r="D24" s="3"/>
      <c r="G24" s="5"/>
    </row>
    <row r="25" spans="4:7" ht="12.75">
      <c r="D25" s="3"/>
      <c r="G25" s="5"/>
    </row>
    <row r="26" spans="4:7" ht="12.75">
      <c r="D26" s="3"/>
      <c r="G26" s="5"/>
    </row>
    <row r="27" spans="4:7" ht="12.75">
      <c r="D27" s="3"/>
      <c r="G27" s="5"/>
    </row>
    <row r="28" spans="4:7" ht="12.75">
      <c r="D28" s="3"/>
      <c r="G28" s="5"/>
    </row>
    <row r="29" spans="4:7" ht="12.75">
      <c r="D29" s="3"/>
      <c r="G29" s="5"/>
    </row>
    <row r="30" spans="4:7" ht="12.75">
      <c r="D30" s="3"/>
      <c r="G30" s="5"/>
    </row>
    <row r="31" spans="4:7" ht="12.75">
      <c r="D31" s="3"/>
      <c r="G31" s="5"/>
    </row>
    <row r="32" spans="1:8" ht="12.75">
      <c r="A32" t="s">
        <v>395</v>
      </c>
      <c r="D32" s="3" t="s">
        <v>4</v>
      </c>
      <c r="E32" s="93">
        <v>11.5</v>
      </c>
      <c r="F32" t="s">
        <v>5</v>
      </c>
      <c r="G32" s="5">
        <f>E32*1853/3600</f>
        <v>5.919305555555556</v>
      </c>
      <c r="H32" t="s">
        <v>41</v>
      </c>
    </row>
    <row r="33" spans="1:7" ht="15.75">
      <c r="A33" t="s">
        <v>160</v>
      </c>
      <c r="D33" s="3" t="s">
        <v>161</v>
      </c>
      <c r="E33" s="93">
        <v>35990</v>
      </c>
      <c r="F33" t="s">
        <v>27</v>
      </c>
      <c r="G33" s="5"/>
    </row>
    <row r="34" spans="1:7" ht="12.75">
      <c r="A34" t="s">
        <v>158</v>
      </c>
      <c r="D34" s="3" t="s">
        <v>44</v>
      </c>
      <c r="E34">
        <f>G32*(1-Adatok!E42)*60*(1+Adatok!E57)/(E3*E2)</f>
        <v>0.33811073333333336</v>
      </c>
      <c r="G34" s="5" t="s">
        <v>159</v>
      </c>
    </row>
    <row r="35" spans="1:7" ht="15.75">
      <c r="A35" s="10" t="s">
        <v>144</v>
      </c>
      <c r="D35" s="3" t="s">
        <v>119</v>
      </c>
      <c r="E35" s="93">
        <v>0.013</v>
      </c>
      <c r="G35" t="s">
        <v>118</v>
      </c>
    </row>
    <row r="36" spans="1:7" ht="15.75">
      <c r="A36" t="s">
        <v>99</v>
      </c>
      <c r="D36" s="3" t="s">
        <v>100</v>
      </c>
      <c r="E36" s="14">
        <f>E35*Adatok!E13*POWER(E3/60*(1+Adatok!E57),2)*POWER(E2,5)</f>
        <v>7132.4296875</v>
      </c>
      <c r="F36" t="s">
        <v>98</v>
      </c>
      <c r="G36" t="s">
        <v>101</v>
      </c>
    </row>
    <row r="37" spans="1:7" ht="15.75">
      <c r="A37" t="s">
        <v>102</v>
      </c>
      <c r="D37" s="3" t="s">
        <v>104</v>
      </c>
      <c r="E37">
        <f>Adatok!E49</f>
        <v>1.05</v>
      </c>
      <c r="G37" t="s">
        <v>314</v>
      </c>
    </row>
    <row r="38" spans="1:7" ht="15.75">
      <c r="A38" t="s">
        <v>105</v>
      </c>
      <c r="D38" s="3" t="s">
        <v>97</v>
      </c>
      <c r="E38" s="14">
        <f>E36/E37</f>
        <v>6792.790178571428</v>
      </c>
      <c r="F38" t="s">
        <v>98</v>
      </c>
      <c r="G38" t="s">
        <v>106</v>
      </c>
    </row>
    <row r="39" spans="1:7" ht="15.75">
      <c r="A39" t="s">
        <v>107</v>
      </c>
      <c r="D39" s="3" t="s">
        <v>110</v>
      </c>
      <c r="E39" s="15">
        <f>(E3/60)*2*PI()*E38</f>
        <v>355669.662039615</v>
      </c>
      <c r="F39" s="10" t="s">
        <v>111</v>
      </c>
      <c r="G39" t="s">
        <v>109</v>
      </c>
    </row>
    <row r="40" spans="1:7" ht="15.75">
      <c r="A40" t="s">
        <v>112</v>
      </c>
      <c r="D40" s="3" t="s">
        <v>113</v>
      </c>
      <c r="E40">
        <f>Adatok!E52</f>
        <v>1</v>
      </c>
      <c r="G40" t="s">
        <v>310</v>
      </c>
    </row>
    <row r="41" spans="1:7" ht="15.75">
      <c r="A41" t="s">
        <v>328</v>
      </c>
      <c r="D41" s="3" t="s">
        <v>114</v>
      </c>
      <c r="E41" s="15">
        <f>E39/E40</f>
        <v>355669.662039615</v>
      </c>
      <c r="F41" s="10" t="s">
        <v>111</v>
      </c>
      <c r="G41" t="s">
        <v>115</v>
      </c>
    </row>
    <row r="42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</cols>
  <sheetData>
    <row r="1" ht="12.75">
      <c r="A1" s="2" t="s">
        <v>56</v>
      </c>
    </row>
    <row r="2" spans="1:6" ht="12.75">
      <c r="A2" s="5" t="s">
        <v>139</v>
      </c>
      <c r="D2" s="3" t="s">
        <v>140</v>
      </c>
      <c r="E2" s="14">
        <f>'optimális csavar jellemzői'!E2</f>
        <v>1.5</v>
      </c>
      <c r="F2" t="s">
        <v>0</v>
      </c>
    </row>
    <row r="3" spans="1:6" ht="12.75">
      <c r="A3" s="5" t="s">
        <v>68</v>
      </c>
      <c r="D3" s="3" t="s">
        <v>69</v>
      </c>
      <c r="E3" s="7">
        <f>Adatok!C4-Adatok!C7</f>
        <v>1.2</v>
      </c>
      <c r="F3" t="s">
        <v>0</v>
      </c>
    </row>
    <row r="4" spans="1:7" ht="15.75">
      <c r="A4" t="s">
        <v>55</v>
      </c>
      <c r="D4" s="3" t="s">
        <v>57</v>
      </c>
      <c r="E4">
        <f>100000+(E3-0.7*0.5*E2)*Adatok!E13*9.806</f>
        <v>106619.05</v>
      </c>
      <c r="F4" t="s">
        <v>71</v>
      </c>
      <c r="G4" t="s">
        <v>70</v>
      </c>
    </row>
    <row r="5" spans="1:6" ht="15.75">
      <c r="A5" t="s">
        <v>58</v>
      </c>
      <c r="D5" s="3" t="s">
        <v>59</v>
      </c>
      <c r="E5">
        <v>2333</v>
      </c>
      <c r="F5" t="s">
        <v>71</v>
      </c>
    </row>
    <row r="6" spans="1:7" ht="12.75">
      <c r="A6" t="s">
        <v>62</v>
      </c>
      <c r="D6" s="8" t="s">
        <v>63</v>
      </c>
      <c r="E6" s="14">
        <f>2*PI()*'optimális csavar jellemzői'!E3/(60*(1+Adatok!E57))</f>
        <v>51.33321329395086</v>
      </c>
      <c r="F6" t="s">
        <v>72</v>
      </c>
      <c r="G6" t="s">
        <v>108</v>
      </c>
    </row>
    <row r="7" spans="1:7" ht="15.75">
      <c r="A7" t="s">
        <v>60</v>
      </c>
      <c r="D7" s="3" t="s">
        <v>61</v>
      </c>
      <c r="E7" s="7">
        <f>SQRT(POWER('optimális csavar jellemzői'!G32*(1-Adatok!E42),2)+POWER(0.7*0.5*E2*E6,2))</f>
        <v>27.266606142623637</v>
      </c>
      <c r="F7" t="s">
        <v>41</v>
      </c>
      <c r="G7" t="s">
        <v>73</v>
      </c>
    </row>
    <row r="8" spans="1:7" ht="14.25">
      <c r="A8" t="s">
        <v>64</v>
      </c>
      <c r="D8" s="3" t="s">
        <v>65</v>
      </c>
      <c r="E8">
        <f>0.5*Adatok!E13*POWER(E7,2)</f>
        <v>371733.9052684805</v>
      </c>
      <c r="F8" t="s">
        <v>71</v>
      </c>
      <c r="G8" s="9" t="s">
        <v>74</v>
      </c>
    </row>
    <row r="9" spans="1:7" ht="15.75">
      <c r="A9" t="s">
        <v>66</v>
      </c>
      <c r="D9" s="3" t="s">
        <v>396</v>
      </c>
      <c r="E9">
        <f>(E4-E5)/E8</f>
        <v>0.28053951636367586</v>
      </c>
      <c r="G9" t="s">
        <v>67</v>
      </c>
    </row>
    <row r="10" spans="1:7" ht="15.75">
      <c r="A10" s="10" t="s">
        <v>163</v>
      </c>
      <c r="D10" s="3" t="s">
        <v>165</v>
      </c>
      <c r="E10" s="93">
        <v>0.11</v>
      </c>
      <c r="G10" t="s">
        <v>162</v>
      </c>
    </row>
    <row r="11" spans="1:7" ht="15.75">
      <c r="A11" t="s">
        <v>75</v>
      </c>
      <c r="D11" s="3" t="s">
        <v>76</v>
      </c>
      <c r="E11" s="4">
        <f>'optimális csavar jellemzői'!E33/(E8*E10)</f>
        <v>0.8801505957480927</v>
      </c>
      <c r="F11" t="s">
        <v>77</v>
      </c>
      <c r="G11" t="s">
        <v>78</v>
      </c>
    </row>
    <row r="12" spans="1:7" ht="15.75">
      <c r="A12" t="s">
        <v>82</v>
      </c>
      <c r="D12" s="3" t="s">
        <v>83</v>
      </c>
      <c r="E12" s="4">
        <f>E11/(1.067-0.229*'optimális csavar jellemzői'!E7)</f>
        <v>0.930755787938298</v>
      </c>
      <c r="F12" t="s">
        <v>77</v>
      </c>
      <c r="G12" t="s">
        <v>84</v>
      </c>
    </row>
    <row r="13" spans="1:7" ht="15.75">
      <c r="A13" t="s">
        <v>79</v>
      </c>
      <c r="D13" s="3" t="s">
        <v>80</v>
      </c>
      <c r="E13" s="4">
        <f>POWER(E2,2)*PI()/4</f>
        <v>1.7671458676442586</v>
      </c>
      <c r="F13" t="s">
        <v>77</v>
      </c>
      <c r="G13" t="s">
        <v>81</v>
      </c>
    </row>
    <row r="14" spans="1:7" ht="15.75">
      <c r="A14" t="s">
        <v>85</v>
      </c>
      <c r="D14" s="3" t="s">
        <v>86</v>
      </c>
      <c r="E14">
        <f>E12/E13</f>
        <v>0.5267000336418561</v>
      </c>
      <c r="G14" t="s">
        <v>397</v>
      </c>
    </row>
    <row r="15" spans="1:7" ht="15.75">
      <c r="A15" s="10" t="s">
        <v>164</v>
      </c>
      <c r="D15" s="6" t="s">
        <v>166</v>
      </c>
      <c r="E15" s="93">
        <v>0.13</v>
      </c>
      <c r="G15" t="s">
        <v>162</v>
      </c>
    </row>
    <row r="16" spans="1:7" ht="15.75">
      <c r="A16" t="s">
        <v>75</v>
      </c>
      <c r="D16" s="3" t="s">
        <v>76</v>
      </c>
      <c r="E16" s="4">
        <f>'optimális csavar jellemzői'!E33/(E8*E15)</f>
        <v>0.7447428117868478</v>
      </c>
      <c r="F16" t="s">
        <v>77</v>
      </c>
      <c r="G16" t="s">
        <v>78</v>
      </c>
    </row>
    <row r="17" spans="1:7" ht="15.75">
      <c r="A17" t="s">
        <v>82</v>
      </c>
      <c r="D17" s="3" t="s">
        <v>83</v>
      </c>
      <c r="E17" s="4">
        <f>E16/(1.067-0.229*'optimális csavar jellemzői'!E7)</f>
        <v>0.7875625897939446</v>
      </c>
      <c r="F17" t="s">
        <v>77</v>
      </c>
      <c r="G17" t="s">
        <v>84</v>
      </c>
    </row>
    <row r="18" spans="1:7" ht="15.75">
      <c r="A18" t="s">
        <v>85</v>
      </c>
      <c r="D18" s="3" t="s">
        <v>86</v>
      </c>
      <c r="E18" s="4">
        <f>E17/E13</f>
        <v>0.4456692592354167</v>
      </c>
      <c r="G18" t="s">
        <v>329</v>
      </c>
    </row>
    <row r="19" ht="12.75">
      <c r="A19" t="s">
        <v>330</v>
      </c>
    </row>
    <row r="21" spans="1:12" ht="12.75">
      <c r="A21" s="2" t="s">
        <v>270</v>
      </c>
      <c r="L21" s="7"/>
    </row>
    <row r="22" ht="12.75">
      <c r="A22" t="s">
        <v>249</v>
      </c>
    </row>
    <row r="23" ht="15.75">
      <c r="A23" t="s">
        <v>274</v>
      </c>
    </row>
    <row r="24" spans="1:2" ht="15.75">
      <c r="A24" t="s">
        <v>247</v>
      </c>
      <c r="B24" t="s">
        <v>251</v>
      </c>
    </row>
    <row r="25" ht="12.75">
      <c r="B25" t="s">
        <v>248</v>
      </c>
    </row>
    <row r="26" ht="12.75">
      <c r="B26" t="s">
        <v>262</v>
      </c>
    </row>
    <row r="27" ht="15.75">
      <c r="B27" t="s">
        <v>252</v>
      </c>
    </row>
    <row r="28" ht="15.75">
      <c r="B28" t="s">
        <v>263</v>
      </c>
    </row>
    <row r="29" ht="12.75">
      <c r="B29" t="s">
        <v>250</v>
      </c>
    </row>
    <row r="30" ht="15.75">
      <c r="B30" t="s">
        <v>255</v>
      </c>
    </row>
    <row r="31" ht="12.75">
      <c r="B31" t="s">
        <v>256</v>
      </c>
    </row>
    <row r="32" ht="15.75">
      <c r="B32" t="s">
        <v>254</v>
      </c>
    </row>
    <row r="33" spans="2:3" ht="15.75">
      <c r="B33" t="s">
        <v>247</v>
      </c>
      <c r="C33" t="s">
        <v>253</v>
      </c>
    </row>
    <row r="34" spans="1:9" ht="15.75">
      <c r="A34" s="3" t="s">
        <v>257</v>
      </c>
      <c r="B34">
        <f>'optimális csavar jellemzői'!E39</f>
        <v>355669.662039615</v>
      </c>
      <c r="C34" s="10" t="s">
        <v>111</v>
      </c>
      <c r="D34" s="3" t="s">
        <v>258</v>
      </c>
      <c r="E34" s="7">
        <f>B34/746</f>
        <v>476.7689839673123</v>
      </c>
      <c r="F34" t="s">
        <v>259</v>
      </c>
      <c r="G34" s="3" t="s">
        <v>258</v>
      </c>
      <c r="H34" s="7">
        <f>E34*75/76</f>
        <v>470.4957078624792</v>
      </c>
      <c r="I34" t="s">
        <v>268</v>
      </c>
    </row>
    <row r="35" spans="1:2" ht="12.75">
      <c r="A35" s="3" t="s">
        <v>260</v>
      </c>
      <c r="B35" s="93">
        <v>4</v>
      </c>
    </row>
    <row r="36" spans="1:3" ht="12.75">
      <c r="A36" s="3" t="s">
        <v>261</v>
      </c>
      <c r="B36">
        <f>'optimális csavar jellemzői'!E3</f>
        <v>500</v>
      </c>
      <c r="C36" t="s">
        <v>2</v>
      </c>
    </row>
    <row r="37" spans="1:5" ht="15.75">
      <c r="A37" s="3" t="s">
        <v>264</v>
      </c>
      <c r="B37" s="3" t="s">
        <v>265</v>
      </c>
      <c r="C37" s="15">
        <f>B36*'optimális csavar jellemzői'!E2/(0.3048*'optimális csavar jellemzői'!E32*(1-Adatok!E42))</f>
        <v>305.66831319998045</v>
      </c>
      <c r="E37" t="s">
        <v>331</v>
      </c>
    </row>
    <row r="38" spans="1:8" ht="15.75">
      <c r="A38" s="3" t="s">
        <v>266</v>
      </c>
      <c r="B38" s="10" t="s">
        <v>267</v>
      </c>
      <c r="C38" s="15">
        <f>B36*POWER(H34,0.5)/POWER('optimális csavar jellemzői'!E32*(1-Adatok!E42),2.5)</f>
        <v>58.9872481849096</v>
      </c>
      <c r="E38" s="19" t="s">
        <v>399</v>
      </c>
      <c r="G38" s="3" t="s">
        <v>258</v>
      </c>
      <c r="H38" s="14">
        <f>('optimális csavar jellemzői'!E6/(2*PI()))*('optimális csavar jellemzői'!E5/'optimális csavar jellemzői'!E35)</f>
        <v>0.46854487188294014</v>
      </c>
    </row>
    <row r="39" spans="1:3" ht="12.75">
      <c r="A39" s="3" t="s">
        <v>23</v>
      </c>
      <c r="B39">
        <f>'csavar rajza'!B59/10</f>
        <v>6.089999999999999</v>
      </c>
      <c r="C39" t="s">
        <v>269</v>
      </c>
    </row>
    <row r="40" spans="1:3" ht="12.75">
      <c r="A40" s="3" t="s">
        <v>31</v>
      </c>
      <c r="B40" s="4">
        <f>'csavar rajza'!F3*'csavar rajza'!B28/100</f>
        <v>0.612823365</v>
      </c>
      <c r="C40" t="s">
        <v>0</v>
      </c>
    </row>
    <row r="41" spans="1:4" ht="15.75">
      <c r="A41" s="3" t="s">
        <v>271</v>
      </c>
      <c r="B41" s="93">
        <v>8.76</v>
      </c>
      <c r="D41" t="s">
        <v>332</v>
      </c>
    </row>
    <row r="42" spans="1:4" ht="12.75">
      <c r="A42" s="3" t="s">
        <v>272</v>
      </c>
      <c r="B42" s="93">
        <v>1</v>
      </c>
      <c r="D42" t="s">
        <v>333</v>
      </c>
    </row>
    <row r="43" spans="1:4" ht="15.75">
      <c r="A43" s="3" t="s">
        <v>273</v>
      </c>
      <c r="B43" s="7">
        <f>66.7*'optimális csavar jellemzői'!E7</f>
        <v>35.351000000000006</v>
      </c>
      <c r="D43" s="10" t="s">
        <v>400</v>
      </c>
    </row>
    <row r="44" spans="1:7" ht="15.75">
      <c r="A44" s="3" t="s">
        <v>275</v>
      </c>
      <c r="B44" s="7">
        <f>(E34/(B35*B36))*(1/0.0975)*(B41*(B43+(C37*H38))/(POWER(B39,2)*B40))*B42</f>
        <v>168.2739415769654</v>
      </c>
      <c r="C44" t="s">
        <v>276</v>
      </c>
      <c r="E44" s="3" t="s">
        <v>277</v>
      </c>
      <c r="F44" s="7">
        <f>(E34/(B35*B36))*(1/0.085)*(B41*(B43+(C37*H38))/(POWER(B39,2)*B40))*B42</f>
        <v>193.02010945593088</v>
      </c>
      <c r="G44" t="s">
        <v>276</v>
      </c>
    </row>
    <row r="45" ht="12.75">
      <c r="A45" t="s">
        <v>278</v>
      </c>
    </row>
    <row r="46" ht="15.75">
      <c r="A46" t="s">
        <v>279</v>
      </c>
    </row>
    <row r="47" ht="15.75">
      <c r="A47" t="s">
        <v>280</v>
      </c>
    </row>
    <row r="48" spans="1:4" ht="12.75">
      <c r="A48" t="s">
        <v>247</v>
      </c>
      <c r="B48" t="s">
        <v>281</v>
      </c>
      <c r="C48" s="3" t="s">
        <v>258</v>
      </c>
      <c r="D48">
        <f>B36/100</f>
        <v>5</v>
      </c>
    </row>
    <row r="49" ht="12.75">
      <c r="B49" t="s">
        <v>282</v>
      </c>
    </row>
    <row r="50" ht="15.75">
      <c r="B50" t="s">
        <v>283</v>
      </c>
    </row>
    <row r="51" ht="15.75">
      <c r="B51" t="s">
        <v>284</v>
      </c>
    </row>
    <row r="52" spans="1:4" ht="15.75">
      <c r="A52" s="3" t="s">
        <v>285</v>
      </c>
      <c r="B52" s="93">
        <v>0.78</v>
      </c>
      <c r="D52" t="s">
        <v>332</v>
      </c>
    </row>
    <row r="53" spans="1:4" ht="15.75">
      <c r="A53" s="3" t="s">
        <v>286</v>
      </c>
      <c r="B53" s="93">
        <v>0.08</v>
      </c>
      <c r="D53" t="s">
        <v>335</v>
      </c>
    </row>
    <row r="54" spans="1:7" ht="15.75">
      <c r="A54" s="3" t="s">
        <v>287</v>
      </c>
      <c r="B54" s="7">
        <f>POWER(D48,2)*POWER(E2,2)*((B53*B52/0.0975)+0.58)</f>
        <v>68.625</v>
      </c>
      <c r="C54" t="s">
        <v>276</v>
      </c>
      <c r="E54" s="3" t="s">
        <v>288</v>
      </c>
      <c r="F54" s="7">
        <f>POWER(D48,2)*POWER(E2,2)*((B53*B52/0.085)-0.58)</f>
        <v>8.669117647058826</v>
      </c>
      <c r="G54" t="s">
        <v>276</v>
      </c>
    </row>
    <row r="55" spans="1:7" ht="15.75">
      <c r="A55" s="3" t="s">
        <v>289</v>
      </c>
      <c r="B55" s="7">
        <f>B44+B54</f>
        <v>236.8989415769654</v>
      </c>
      <c r="C55" t="s">
        <v>276</v>
      </c>
      <c r="E55" s="3" t="s">
        <v>290</v>
      </c>
      <c r="F55" s="7">
        <f>F44+F54</f>
        <v>201.68922710298972</v>
      </c>
      <c r="G55" t="s">
        <v>276</v>
      </c>
    </row>
    <row r="56" ht="15.75">
      <c r="A56" s="18" t="s">
        <v>402</v>
      </c>
    </row>
    <row r="57" ht="15.75">
      <c r="A57" s="17" t="s">
        <v>403</v>
      </c>
    </row>
    <row r="58" ht="12.75">
      <c r="A58" s="17" t="s">
        <v>334</v>
      </c>
    </row>
    <row r="59" ht="12.75">
      <c r="A59" s="2" t="s">
        <v>291</v>
      </c>
    </row>
    <row r="60" spans="1:3" ht="12.75">
      <c r="A60" s="3" t="s">
        <v>23</v>
      </c>
      <c r="B60">
        <f>'csavar rajza'!B63/10</f>
        <v>3.2700000000000005</v>
      </c>
      <c r="C60" t="s">
        <v>269</v>
      </c>
    </row>
    <row r="61" spans="1:3" ht="12.75">
      <c r="A61" s="3" t="s">
        <v>31</v>
      </c>
      <c r="B61" s="4">
        <f>'csavar rajza'!F3</f>
        <v>0.82005</v>
      </c>
      <c r="C61" t="s">
        <v>0</v>
      </c>
    </row>
    <row r="62" spans="1:7" ht="15.75">
      <c r="A62" s="3" t="s">
        <v>275</v>
      </c>
      <c r="B62">
        <f>(E34/(B35*B36))*(1/0.0975)*(B41*(B43+(C37*H38))/(POWER(B60,2)*B61))*B42</f>
        <v>436.16511754196364</v>
      </c>
      <c r="C62" t="s">
        <v>276</v>
      </c>
      <c r="E62" s="3" t="s">
        <v>277</v>
      </c>
      <c r="F62">
        <f>(E34/(B35*B36))*(1/0.085)*(B41*(B43+(C37*H38))/(POWER(B60,2)*B61))*B42</f>
        <v>500.30704659225233</v>
      </c>
      <c r="G62" t="s">
        <v>276</v>
      </c>
    </row>
    <row r="63" spans="1:4" ht="15.75">
      <c r="A63" s="3" t="s">
        <v>286</v>
      </c>
      <c r="B63" s="93">
        <v>0.1</v>
      </c>
      <c r="D63" t="s">
        <v>335</v>
      </c>
    </row>
    <row r="64" spans="1:7" ht="15.75">
      <c r="A64" s="3" t="s">
        <v>287</v>
      </c>
      <c r="B64" s="7">
        <f>POWER(D48,2)*POWER(E2,2)*((B63*B52/0.0975)+0.58)</f>
        <v>77.625</v>
      </c>
      <c r="C64" t="s">
        <v>276</v>
      </c>
      <c r="E64" s="3" t="s">
        <v>288</v>
      </c>
      <c r="F64" s="7">
        <f>POWER(D48,2)*POWER(E2,2)*((B63*B52/0.085)-0.58)</f>
        <v>18.992647058823536</v>
      </c>
      <c r="G64" t="s">
        <v>276</v>
      </c>
    </row>
    <row r="65" spans="1:7" ht="15.75">
      <c r="A65" s="3" t="s">
        <v>289</v>
      </c>
      <c r="B65" s="7">
        <f>B62+B64</f>
        <v>513.7901175419636</v>
      </c>
      <c r="C65" t="s">
        <v>276</v>
      </c>
      <c r="E65" s="3" t="s">
        <v>290</v>
      </c>
      <c r="F65" s="7">
        <f>F62+F64</f>
        <v>519.2996936510758</v>
      </c>
      <c r="G65" t="s">
        <v>276</v>
      </c>
    </row>
    <row r="66" ht="12.75">
      <c r="A66" s="17" t="s">
        <v>336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0"/>
  <sheetViews>
    <sheetView tabSelected="1" workbookViewId="0" topLeftCell="A1">
      <selection activeCell="E240" sqref="E240"/>
    </sheetView>
  </sheetViews>
  <sheetFormatPr defaultColWidth="9.140625" defaultRowHeight="12.75"/>
  <sheetData>
    <row r="1" ht="12.75">
      <c r="A1" s="2" t="s">
        <v>188</v>
      </c>
    </row>
    <row r="2" spans="1:9" ht="15.75">
      <c r="A2" s="40" t="s">
        <v>344</v>
      </c>
      <c r="B2" s="28"/>
      <c r="C2" s="29"/>
      <c r="D2" s="45" t="s">
        <v>168</v>
      </c>
      <c r="E2" s="46" t="s">
        <v>406</v>
      </c>
      <c r="F2" s="47">
        <f>0.7396*'optimális csavar jellemzői'!E9*'optimális csavar jellemzői'!E2</f>
        <v>1.1094</v>
      </c>
      <c r="G2" s="25" t="s">
        <v>0</v>
      </c>
      <c r="H2" s="25" t="s">
        <v>171</v>
      </c>
      <c r="I2" s="26"/>
    </row>
    <row r="3" spans="1:9" ht="15.75">
      <c r="A3" s="41" t="s">
        <v>345</v>
      </c>
      <c r="B3" s="42"/>
      <c r="C3" s="43"/>
      <c r="D3" s="45" t="s">
        <v>169</v>
      </c>
      <c r="E3" s="37"/>
      <c r="F3" s="47">
        <f>0.5467*'optimális csavar jellemzői'!E9*'optimális csavar jellemzői'!E2</f>
        <v>0.82005</v>
      </c>
      <c r="G3" s="25"/>
      <c r="H3" s="25" t="s">
        <v>346</v>
      </c>
      <c r="I3" s="26"/>
    </row>
    <row r="4" spans="1:9" ht="15.75">
      <c r="A4" s="44"/>
      <c r="B4" s="31"/>
      <c r="C4" s="32"/>
      <c r="D4" s="45" t="s">
        <v>170</v>
      </c>
      <c r="E4" s="37"/>
      <c r="F4" s="47">
        <f>0.4376*'optimális csavar jellemzői'!E9*'optimális csavar jellemzői'!E2</f>
        <v>0.6564</v>
      </c>
      <c r="G4" s="25"/>
      <c r="H4" s="25" t="s">
        <v>347</v>
      </c>
      <c r="I4" s="26"/>
    </row>
    <row r="5" spans="1:9" ht="13.5">
      <c r="A5" s="50" t="s">
        <v>349</v>
      </c>
      <c r="B5" s="42"/>
      <c r="C5" s="42"/>
      <c r="D5" s="48"/>
      <c r="E5" s="42"/>
      <c r="F5" s="49"/>
      <c r="G5" s="42"/>
      <c r="H5" s="42"/>
      <c r="I5" s="42"/>
    </row>
    <row r="6" spans="1:9" ht="12.75">
      <c r="A6" s="51" t="s">
        <v>348</v>
      </c>
      <c r="B6" s="52"/>
      <c r="C6" s="52"/>
      <c r="D6" s="52"/>
      <c r="E6" s="53"/>
      <c r="F6" s="54" t="s">
        <v>186</v>
      </c>
      <c r="G6" s="52"/>
      <c r="H6" s="52"/>
      <c r="I6" s="53"/>
    </row>
    <row r="7" spans="1:9" ht="15.75">
      <c r="A7" s="55" t="s">
        <v>167</v>
      </c>
      <c r="B7" s="51" t="s">
        <v>172</v>
      </c>
      <c r="C7" s="52"/>
      <c r="D7" s="52"/>
      <c r="E7" s="53"/>
      <c r="F7" s="51" t="s">
        <v>187</v>
      </c>
      <c r="G7" s="52"/>
      <c r="H7" s="52"/>
      <c r="I7" s="53"/>
    </row>
    <row r="8" spans="1:10" ht="12.75">
      <c r="A8" s="56"/>
      <c r="B8" s="55" t="s">
        <v>176</v>
      </c>
      <c r="C8" s="55" t="s">
        <v>173</v>
      </c>
      <c r="D8" s="55" t="s">
        <v>173</v>
      </c>
      <c r="E8" s="55" t="s">
        <v>181</v>
      </c>
      <c r="F8" s="55" t="s">
        <v>176</v>
      </c>
      <c r="G8" s="55" t="s">
        <v>173</v>
      </c>
      <c r="H8" s="55" t="s">
        <v>173</v>
      </c>
      <c r="I8" s="55" t="s">
        <v>181</v>
      </c>
      <c r="J8" s="3" t="s">
        <v>181</v>
      </c>
    </row>
    <row r="9" spans="1:10" ht="12.75">
      <c r="A9" s="56"/>
      <c r="B9" s="56" t="s">
        <v>177</v>
      </c>
      <c r="C9" s="56" t="s">
        <v>174</v>
      </c>
      <c r="D9" s="56" t="s">
        <v>175</v>
      </c>
      <c r="E9" s="56" t="s">
        <v>182</v>
      </c>
      <c r="F9" s="56" t="s">
        <v>177</v>
      </c>
      <c r="G9" s="56" t="s">
        <v>174</v>
      </c>
      <c r="H9" s="56" t="s">
        <v>175</v>
      </c>
      <c r="I9" s="56" t="s">
        <v>200</v>
      </c>
      <c r="J9" s="3" t="s">
        <v>182</v>
      </c>
    </row>
    <row r="10" spans="1:10" ht="12.75">
      <c r="A10" s="56"/>
      <c r="B10" s="58"/>
      <c r="C10" s="58"/>
      <c r="D10" s="58"/>
      <c r="E10" s="60" t="s">
        <v>183</v>
      </c>
      <c r="F10" s="58"/>
      <c r="G10" s="58"/>
      <c r="H10" s="58"/>
      <c r="I10" s="58" t="s">
        <v>173</v>
      </c>
      <c r="J10" t="s">
        <v>183</v>
      </c>
    </row>
    <row r="11" spans="1:10" ht="15.75">
      <c r="A11" s="57"/>
      <c r="B11" s="57" t="s">
        <v>184</v>
      </c>
      <c r="C11" s="57" t="s">
        <v>404</v>
      </c>
      <c r="D11" s="57" t="s">
        <v>405</v>
      </c>
      <c r="E11" s="57" t="s">
        <v>185</v>
      </c>
      <c r="F11" s="57" t="s">
        <v>179</v>
      </c>
      <c r="G11" s="57" t="s">
        <v>178</v>
      </c>
      <c r="H11" s="57" t="s">
        <v>180</v>
      </c>
      <c r="I11" s="57" t="s">
        <v>202</v>
      </c>
      <c r="J11" s="3" t="s">
        <v>201</v>
      </c>
    </row>
    <row r="12" spans="1:10" ht="12.75">
      <c r="A12" s="35">
        <v>1</v>
      </c>
      <c r="B12" s="33">
        <v>0</v>
      </c>
      <c r="C12" s="33">
        <v>14.7</v>
      </c>
      <c r="D12" s="33">
        <v>0</v>
      </c>
      <c r="E12" s="33">
        <v>0</v>
      </c>
      <c r="F12" s="59">
        <f>B12*F20/100</f>
        <v>0</v>
      </c>
      <c r="G12" s="59">
        <f>-C12*F20/100</f>
        <v>-120.54735</v>
      </c>
      <c r="H12" s="59">
        <f>D12*F20/100</f>
        <v>0</v>
      </c>
      <c r="I12" s="59">
        <f aca="true" t="shared" si="0" ref="I12:I28">H12-(E12*F12/100)</f>
        <v>0</v>
      </c>
      <c r="J12" s="7">
        <f aca="true" t="shared" si="1" ref="J12:J28">(E12*F12/100)</f>
        <v>0</v>
      </c>
    </row>
    <row r="13" spans="1:10" ht="12.75">
      <c r="A13" s="35">
        <v>0.95</v>
      </c>
      <c r="B13" s="33">
        <v>57.96</v>
      </c>
      <c r="C13" s="33">
        <v>40.14</v>
      </c>
      <c r="D13" s="33">
        <v>17.82</v>
      </c>
      <c r="E13" s="33">
        <v>50</v>
      </c>
      <c r="F13" s="59">
        <f>B13*F20/100</f>
        <v>475.30098</v>
      </c>
      <c r="G13" s="59">
        <f>-C13*F20/100</f>
        <v>-329.16807</v>
      </c>
      <c r="H13" s="59">
        <f>D13*F20/100</f>
        <v>146.13290999999998</v>
      </c>
      <c r="I13" s="59">
        <f t="shared" si="0"/>
        <v>-91.51758000000001</v>
      </c>
      <c r="J13" s="7">
        <f t="shared" si="1"/>
        <v>237.65049</v>
      </c>
    </row>
    <row r="14" spans="1:10" ht="12.75">
      <c r="A14" s="35">
        <v>0.9</v>
      </c>
      <c r="B14" s="33">
        <v>75.77</v>
      </c>
      <c r="C14" s="33">
        <v>45.46</v>
      </c>
      <c r="D14" s="33">
        <v>30.31</v>
      </c>
      <c r="E14" s="33">
        <v>50</v>
      </c>
      <c r="F14" s="59">
        <f>B14*F20/100</f>
        <v>621.3518849999999</v>
      </c>
      <c r="G14" s="59">
        <f>-C14*F20/100</f>
        <v>-372.79472999999996</v>
      </c>
      <c r="H14" s="59">
        <f>D14*F20/100</f>
        <v>248.557155</v>
      </c>
      <c r="I14" s="59">
        <f t="shared" si="0"/>
        <v>-62.11878749999997</v>
      </c>
      <c r="J14" s="7">
        <f t="shared" si="1"/>
        <v>310.67594249999996</v>
      </c>
    </row>
    <row r="15" spans="1:10" ht="12.75">
      <c r="A15" s="35">
        <v>0.85</v>
      </c>
      <c r="B15" s="33">
        <v>84.33</v>
      </c>
      <c r="C15" s="33">
        <v>46.84</v>
      </c>
      <c r="D15" s="33">
        <v>37.48</v>
      </c>
      <c r="E15" s="33">
        <v>48.9</v>
      </c>
      <c r="F15" s="59">
        <f>B15*F20/100</f>
        <v>691.548165</v>
      </c>
      <c r="G15" s="59">
        <f>-C15*F20/100</f>
        <v>-384.11142</v>
      </c>
      <c r="H15" s="59">
        <f>D15*F20/100</f>
        <v>307.35473999999994</v>
      </c>
      <c r="I15" s="59">
        <f t="shared" si="0"/>
        <v>-30.81231268500011</v>
      </c>
      <c r="J15" s="7">
        <f t="shared" si="1"/>
        <v>338.16705268500004</v>
      </c>
    </row>
    <row r="16" spans="1:10" ht="12.75">
      <c r="A16" s="35">
        <v>0.8</v>
      </c>
      <c r="B16" s="33">
        <v>92.85</v>
      </c>
      <c r="C16" s="33">
        <v>48.22</v>
      </c>
      <c r="D16" s="33">
        <v>44.63</v>
      </c>
      <c r="E16" s="33">
        <v>47.8</v>
      </c>
      <c r="F16" s="59">
        <f>B16*F20/100</f>
        <v>761.4164249999999</v>
      </c>
      <c r="G16" s="59">
        <f>-C16*F20/100</f>
        <v>-395.42810999999995</v>
      </c>
      <c r="H16" s="59">
        <f>D16*F20/100</f>
        <v>365.988315</v>
      </c>
      <c r="I16" s="59">
        <f t="shared" si="0"/>
        <v>2.03126385000013</v>
      </c>
      <c r="J16" s="7">
        <f t="shared" si="1"/>
        <v>363.95705114999987</v>
      </c>
    </row>
    <row r="17" spans="1:10" ht="12.75">
      <c r="A17" s="35">
        <v>0.75</v>
      </c>
      <c r="B17" s="33">
        <v>96.03</v>
      </c>
      <c r="C17" s="33">
        <v>47.6</v>
      </c>
      <c r="D17" s="33">
        <v>48.43</v>
      </c>
      <c r="E17" s="33">
        <v>46</v>
      </c>
      <c r="F17" s="59">
        <f>B17*F20/100</f>
        <v>787.4940149999999</v>
      </c>
      <c r="G17" s="59">
        <f>-C17*F20/100</f>
        <v>-390.3438</v>
      </c>
      <c r="H17" s="59">
        <f>D17*F20/100</f>
        <v>397.15021499999995</v>
      </c>
      <c r="I17" s="59">
        <f t="shared" si="0"/>
        <v>34.90296810000001</v>
      </c>
      <c r="J17" s="7">
        <f t="shared" si="1"/>
        <v>362.24724689999994</v>
      </c>
    </row>
    <row r="18" spans="1:10" ht="12.75">
      <c r="A18" s="35">
        <v>0.7</v>
      </c>
      <c r="B18" s="33">
        <v>99.19</v>
      </c>
      <c r="C18" s="33">
        <v>46.97</v>
      </c>
      <c r="D18" s="33">
        <v>52.22</v>
      </c>
      <c r="E18" s="33">
        <v>44.2</v>
      </c>
      <c r="F18" s="59">
        <f>B18*F20/100</f>
        <v>813.407595</v>
      </c>
      <c r="G18" s="59">
        <f>-C18*F20/100</f>
        <v>-385.17748499999993</v>
      </c>
      <c r="H18" s="59">
        <f>D18*F20/100</f>
        <v>428.23010999999997</v>
      </c>
      <c r="I18" s="59">
        <f t="shared" si="0"/>
        <v>68.70395300999996</v>
      </c>
      <c r="J18" s="7">
        <f t="shared" si="1"/>
        <v>359.52615699</v>
      </c>
    </row>
    <row r="19" spans="1:10" ht="12.75">
      <c r="A19" s="35">
        <v>0.65</v>
      </c>
      <c r="B19" s="33">
        <v>99.6</v>
      </c>
      <c r="C19" s="33">
        <v>45.58</v>
      </c>
      <c r="D19" s="33">
        <v>54.02</v>
      </c>
      <c r="E19" s="33">
        <v>41.6</v>
      </c>
      <c r="F19" s="59">
        <f>B19*F20/100</f>
        <v>816.7697999999999</v>
      </c>
      <c r="G19" s="59">
        <f>-C19*F20/100</f>
        <v>-373.77878999999996</v>
      </c>
      <c r="H19" s="59">
        <f>D19*F20/100</f>
        <v>442.99101</v>
      </c>
      <c r="I19" s="59">
        <f t="shared" si="0"/>
        <v>103.21477320000002</v>
      </c>
      <c r="J19" s="7">
        <f t="shared" si="1"/>
        <v>339.7762368</v>
      </c>
    </row>
    <row r="20" spans="1:10" ht="12.75">
      <c r="A20" s="35">
        <v>0.6</v>
      </c>
      <c r="B20" s="33">
        <v>100</v>
      </c>
      <c r="C20" s="33">
        <v>44.18</v>
      </c>
      <c r="D20" s="33">
        <v>55.82</v>
      </c>
      <c r="E20" s="33">
        <v>38.9</v>
      </c>
      <c r="F20" s="104">
        <f>1000*F3</f>
        <v>820.05</v>
      </c>
      <c r="G20" s="59">
        <f>-C20*F20/100</f>
        <v>-362.29809</v>
      </c>
      <c r="H20" s="59">
        <f>D20*F20/100</f>
        <v>457.75191</v>
      </c>
      <c r="I20" s="59">
        <f t="shared" si="0"/>
        <v>138.75246000000004</v>
      </c>
      <c r="J20" s="7">
        <f t="shared" si="1"/>
        <v>318.99944999999997</v>
      </c>
    </row>
    <row r="21" spans="1:10" ht="12.75">
      <c r="A21" s="35">
        <v>0.55</v>
      </c>
      <c r="B21" s="33">
        <v>98.53</v>
      </c>
      <c r="C21" s="33">
        <v>42.36</v>
      </c>
      <c r="D21" s="33">
        <v>56.17</v>
      </c>
      <c r="E21" s="33">
        <v>37.2</v>
      </c>
      <c r="F21" s="59">
        <f>B21*F20/100</f>
        <v>807.9952649999999</v>
      </c>
      <c r="G21" s="59">
        <f>-C21*F20/100</f>
        <v>-347.37318</v>
      </c>
      <c r="H21" s="59">
        <f>D21*F20/100</f>
        <v>460.622085</v>
      </c>
      <c r="I21" s="59">
        <f t="shared" si="0"/>
        <v>160.04784642000004</v>
      </c>
      <c r="J21" s="7">
        <f t="shared" si="1"/>
        <v>300.57423858</v>
      </c>
    </row>
    <row r="22" spans="1:10" ht="12.75">
      <c r="A22" s="35">
        <v>0.5</v>
      </c>
      <c r="B22" s="33">
        <v>97.05</v>
      </c>
      <c r="C22" s="33">
        <v>40.53</v>
      </c>
      <c r="D22" s="33">
        <v>56.52</v>
      </c>
      <c r="E22" s="33">
        <v>35.5</v>
      </c>
      <c r="F22" s="59">
        <f>B22*F20/100</f>
        <v>795.858525</v>
      </c>
      <c r="G22" s="59">
        <f>-C22*F20/100</f>
        <v>-332.366265</v>
      </c>
      <c r="H22" s="59">
        <f>D22*F20/100</f>
        <v>463.49226000000004</v>
      </c>
      <c r="I22" s="59">
        <f t="shared" si="0"/>
        <v>180.96248362500006</v>
      </c>
      <c r="J22" s="7">
        <f t="shared" si="1"/>
        <v>282.529776375</v>
      </c>
    </row>
    <row r="23" spans="1:10" ht="12.75">
      <c r="A23" s="35">
        <v>0.45</v>
      </c>
      <c r="B23" s="33">
        <v>94.3</v>
      </c>
      <c r="C23" s="33">
        <v>38.58</v>
      </c>
      <c r="D23" s="33">
        <v>55.72</v>
      </c>
      <c r="E23" s="33">
        <v>35.2</v>
      </c>
      <c r="F23" s="59">
        <f>B23*F20/100</f>
        <v>773.30715</v>
      </c>
      <c r="G23" s="59">
        <f>-C23*F20/100</f>
        <v>-316.37529</v>
      </c>
      <c r="H23" s="59">
        <f>D23*F20/100</f>
        <v>456.9318599999999</v>
      </c>
      <c r="I23" s="59">
        <f t="shared" si="0"/>
        <v>184.7277431999999</v>
      </c>
      <c r="J23" s="7">
        <f t="shared" si="1"/>
        <v>272.2041168</v>
      </c>
    </row>
    <row r="24" spans="1:10" ht="12.75">
      <c r="A24" s="35">
        <v>0.4</v>
      </c>
      <c r="B24" s="33">
        <v>91.53</v>
      </c>
      <c r="C24" s="33">
        <v>36.62</v>
      </c>
      <c r="D24" s="33">
        <v>54.91</v>
      </c>
      <c r="E24" s="33">
        <v>34.9</v>
      </c>
      <c r="F24" s="59">
        <f>B24*F20/100</f>
        <v>750.591765</v>
      </c>
      <c r="G24" s="59">
        <f>-C24*F20/100</f>
        <v>-300.30231</v>
      </c>
      <c r="H24" s="59">
        <f>D24*F20/100</f>
        <v>450.2894549999999</v>
      </c>
      <c r="I24" s="59">
        <f t="shared" si="0"/>
        <v>188.33292901499993</v>
      </c>
      <c r="J24" s="7">
        <f t="shared" si="1"/>
        <v>261.956525985</v>
      </c>
    </row>
    <row r="25" spans="1:10" ht="12.75">
      <c r="A25" s="35">
        <v>0.35</v>
      </c>
      <c r="B25" s="33">
        <v>87.73</v>
      </c>
      <c r="C25" s="33">
        <v>34.65</v>
      </c>
      <c r="D25" s="33">
        <v>53.08</v>
      </c>
      <c r="E25" s="33">
        <v>34.95</v>
      </c>
      <c r="F25" s="59">
        <f>B25*F20/100</f>
        <v>719.429865</v>
      </c>
      <c r="G25" s="59">
        <f>-C25*F20/100</f>
        <v>-284.14732499999997</v>
      </c>
      <c r="H25" s="59">
        <f>D25*F20/100</f>
        <v>435.2825399999999</v>
      </c>
      <c r="I25" s="59">
        <f t="shared" si="0"/>
        <v>183.84180218249992</v>
      </c>
      <c r="J25" s="7">
        <f t="shared" si="1"/>
        <v>251.4407378175</v>
      </c>
    </row>
    <row r="26" spans="1:10" ht="12.75">
      <c r="A26" s="35">
        <v>0.3</v>
      </c>
      <c r="B26" s="33">
        <v>83.91</v>
      </c>
      <c r="C26" s="33">
        <v>32.67</v>
      </c>
      <c r="D26" s="33">
        <v>51.24</v>
      </c>
      <c r="E26" s="33">
        <v>35</v>
      </c>
      <c r="F26" s="59">
        <f>B26*F20/100</f>
        <v>688.103955</v>
      </c>
      <c r="G26" s="59">
        <f>-C26*F20/100</f>
        <v>-267.91033500000003</v>
      </c>
      <c r="H26" s="59">
        <f>D26*F20/100</f>
        <v>420.19362</v>
      </c>
      <c r="I26" s="59">
        <f t="shared" si="0"/>
        <v>179.35723575</v>
      </c>
      <c r="J26" s="7">
        <f t="shared" si="1"/>
        <v>240.83638425</v>
      </c>
    </row>
    <row r="27" spans="1:10" ht="12.75">
      <c r="A27" s="35">
        <v>0.25</v>
      </c>
      <c r="B27" s="33">
        <v>79.33</v>
      </c>
      <c r="C27" s="33">
        <v>30.68</v>
      </c>
      <c r="D27" s="33">
        <v>48.65</v>
      </c>
      <c r="E27" s="33">
        <v>35</v>
      </c>
      <c r="F27" s="59">
        <f>B27*F20/100</f>
        <v>650.545665</v>
      </c>
      <c r="G27" s="59">
        <f>-C27*F20/100</f>
        <v>-251.59133999999997</v>
      </c>
      <c r="H27" s="59">
        <f>D27*F20/100</f>
        <v>398.9543249999999</v>
      </c>
      <c r="I27" s="59">
        <f t="shared" si="0"/>
        <v>171.26334224999994</v>
      </c>
      <c r="J27" s="7">
        <f t="shared" si="1"/>
        <v>227.69098275</v>
      </c>
    </row>
    <row r="28" spans="1:10" ht="12.75">
      <c r="A28" s="35">
        <v>0.2</v>
      </c>
      <c r="B28" s="33">
        <v>74.73</v>
      </c>
      <c r="C28" s="33">
        <v>28.68</v>
      </c>
      <c r="D28" s="33">
        <v>46.05</v>
      </c>
      <c r="E28" s="33">
        <v>35</v>
      </c>
      <c r="F28" s="59">
        <f>B28*F20/100</f>
        <v>612.823365</v>
      </c>
      <c r="G28" s="59">
        <f>-C28*F20/100</f>
        <v>-235.19034</v>
      </c>
      <c r="H28" s="59">
        <f>D28*F20/100</f>
        <v>377.633025</v>
      </c>
      <c r="I28" s="59">
        <f t="shared" si="0"/>
        <v>163.14484724999997</v>
      </c>
      <c r="J28" s="7">
        <f t="shared" si="1"/>
        <v>214.48817775</v>
      </c>
    </row>
    <row r="44" ht="12.75">
      <c r="A44" s="2" t="s">
        <v>350</v>
      </c>
    </row>
    <row r="45" ht="12.75">
      <c r="A45" t="s">
        <v>192</v>
      </c>
    </row>
    <row r="46" spans="1:4" ht="12.75">
      <c r="A46" s="3" t="s">
        <v>167</v>
      </c>
      <c r="B46" s="3" t="s">
        <v>189</v>
      </c>
      <c r="C46" s="3" t="s">
        <v>190</v>
      </c>
      <c r="D46" s="3" t="s">
        <v>191</v>
      </c>
    </row>
    <row r="47" spans="1:4" ht="12.75">
      <c r="A47" s="3">
        <v>0.2</v>
      </c>
      <c r="B47">
        <v>4.06</v>
      </c>
      <c r="C47">
        <v>3.66</v>
      </c>
      <c r="D47">
        <v>3.26</v>
      </c>
    </row>
    <row r="48" spans="1:4" ht="12.75">
      <c r="A48" s="3">
        <v>0.3</v>
      </c>
      <c r="B48">
        <v>3.59</v>
      </c>
      <c r="C48">
        <v>3.24</v>
      </c>
      <c r="D48">
        <v>2.89</v>
      </c>
    </row>
    <row r="49" spans="1:4" ht="12.75">
      <c r="A49" s="3">
        <v>0.4</v>
      </c>
      <c r="B49">
        <v>3.12</v>
      </c>
      <c r="C49">
        <v>2.82</v>
      </c>
      <c r="D49">
        <v>2.52</v>
      </c>
    </row>
    <row r="50" spans="1:4" ht="12.75">
      <c r="A50" s="3">
        <v>0.5</v>
      </c>
      <c r="B50">
        <v>2.65</v>
      </c>
      <c r="C50">
        <v>2.4</v>
      </c>
      <c r="D50">
        <v>2.15</v>
      </c>
    </row>
    <row r="51" spans="1:4" ht="12.75">
      <c r="A51" s="3">
        <v>0.6</v>
      </c>
      <c r="B51">
        <v>2.18</v>
      </c>
      <c r="C51">
        <v>1.98</v>
      </c>
      <c r="D51">
        <v>1.78</v>
      </c>
    </row>
    <row r="52" spans="1:4" ht="12.75">
      <c r="A52" s="3">
        <v>0.7</v>
      </c>
      <c r="B52">
        <v>1.71</v>
      </c>
      <c r="C52">
        <v>1.56</v>
      </c>
      <c r="D52">
        <v>1.41</v>
      </c>
    </row>
    <row r="53" spans="1:4" ht="12.75">
      <c r="A53" s="3">
        <v>0.8</v>
      </c>
      <c r="B53">
        <v>1.24</v>
      </c>
      <c r="C53">
        <v>1.14</v>
      </c>
      <c r="D53">
        <v>1.04</v>
      </c>
    </row>
    <row r="54" spans="1:4" ht="12.75">
      <c r="A54" s="3">
        <v>0.9</v>
      </c>
      <c r="B54">
        <v>0.77</v>
      </c>
      <c r="C54">
        <v>0.72</v>
      </c>
      <c r="D54">
        <v>0.67</v>
      </c>
    </row>
    <row r="55" spans="1:4" ht="12.75">
      <c r="A55" s="3">
        <v>1</v>
      </c>
      <c r="B55">
        <v>0.3</v>
      </c>
      <c r="C55">
        <v>0.3</v>
      </c>
      <c r="D55">
        <v>0.3</v>
      </c>
    </row>
    <row r="57" spans="1:7" ht="12.75">
      <c r="A57" s="5" t="s">
        <v>337</v>
      </c>
      <c r="E57" s="3" t="s">
        <v>338</v>
      </c>
      <c r="F57">
        <f>'optimális csavar jellemzői'!E2</f>
        <v>1.5</v>
      </c>
      <c r="G57" t="s">
        <v>0</v>
      </c>
    </row>
    <row r="58" spans="1:3" ht="15.75">
      <c r="A58" s="3" t="s">
        <v>167</v>
      </c>
      <c r="B58" t="s">
        <v>339</v>
      </c>
      <c r="C58" s="19" t="s">
        <v>342</v>
      </c>
    </row>
    <row r="59" spans="1:3" ht="12.75">
      <c r="A59" s="3">
        <v>0.2</v>
      </c>
      <c r="B59" s="98">
        <f>1000*F57*B47/100</f>
        <v>60.89999999999999</v>
      </c>
      <c r="C59" s="98">
        <v>65</v>
      </c>
    </row>
    <row r="60" spans="1:3" ht="12.75">
      <c r="A60" s="3">
        <v>0.3</v>
      </c>
      <c r="B60" s="98">
        <f>1000*F57*B48/100</f>
        <v>53.85</v>
      </c>
      <c r="C60" s="98">
        <v>57.5</v>
      </c>
    </row>
    <row r="61" spans="1:12" ht="12.75">
      <c r="A61" s="3">
        <v>0.4</v>
      </c>
      <c r="B61" s="98">
        <f>1000*F57*B49/100</f>
        <v>46.8</v>
      </c>
      <c r="C61" s="98">
        <v>50</v>
      </c>
      <c r="L61" s="7"/>
    </row>
    <row r="62" spans="1:3" ht="12.75">
      <c r="A62" s="3">
        <v>0.5</v>
      </c>
      <c r="B62" s="98">
        <f>1000*F57*B50/100</f>
        <v>39.75</v>
      </c>
      <c r="C62" s="98">
        <v>42.5</v>
      </c>
    </row>
    <row r="63" spans="1:3" ht="12.75">
      <c r="A63" s="3">
        <v>0.6</v>
      </c>
      <c r="B63" s="98">
        <f>1000*F57*B51/100</f>
        <v>32.7</v>
      </c>
      <c r="C63" s="98">
        <v>35</v>
      </c>
    </row>
    <row r="64" spans="1:3" ht="12.75">
      <c r="A64" s="3">
        <v>0.7</v>
      </c>
      <c r="B64" s="98">
        <f>1000*F57*B52/100</f>
        <v>25.65</v>
      </c>
      <c r="C64" s="98">
        <v>27.5</v>
      </c>
    </row>
    <row r="65" spans="1:3" ht="12.75">
      <c r="A65" s="3">
        <v>0.8</v>
      </c>
      <c r="B65" s="98">
        <f>1000*F57*B53/100</f>
        <v>18.6</v>
      </c>
      <c r="C65" s="98">
        <v>20</v>
      </c>
    </row>
    <row r="66" spans="1:3" ht="12.75">
      <c r="A66" s="3">
        <v>0.9</v>
      </c>
      <c r="B66" s="98">
        <f>1000*F57*B54/100</f>
        <v>11.55</v>
      </c>
      <c r="C66" s="98">
        <v>12.5</v>
      </c>
    </row>
    <row r="67" spans="1:3" ht="12.75">
      <c r="A67" s="3">
        <v>1</v>
      </c>
      <c r="B67" s="98">
        <f>1000*F57*B55/100</f>
        <v>4.5</v>
      </c>
      <c r="C67" s="98">
        <v>5</v>
      </c>
    </row>
    <row r="69" ht="12.75">
      <c r="A69" t="s">
        <v>340</v>
      </c>
    </row>
    <row r="70" ht="12.75">
      <c r="A70" t="s">
        <v>341</v>
      </c>
    </row>
    <row r="71" ht="12.75">
      <c r="A71" s="2" t="s">
        <v>193</v>
      </c>
    </row>
    <row r="72" ht="12.75">
      <c r="A72" t="s">
        <v>194</v>
      </c>
    </row>
    <row r="73" ht="12.75">
      <c r="A73" t="s">
        <v>195</v>
      </c>
    </row>
    <row r="74" spans="1:14" ht="12.75">
      <c r="A74" s="51" t="s">
        <v>196</v>
      </c>
      <c r="B74" s="52"/>
      <c r="C74" s="52"/>
      <c r="D74" s="52"/>
      <c r="E74" s="52"/>
      <c r="F74" s="52"/>
      <c r="G74" s="26"/>
      <c r="H74" s="51" t="s">
        <v>197</v>
      </c>
      <c r="I74" s="52"/>
      <c r="J74" s="52"/>
      <c r="K74" s="52"/>
      <c r="L74" s="52"/>
      <c r="M74" s="52"/>
      <c r="N74" s="53"/>
    </row>
    <row r="75" spans="1:14" ht="12.75">
      <c r="A75" s="35" t="s">
        <v>167</v>
      </c>
      <c r="B75" s="61">
        <v>1</v>
      </c>
      <c r="C75" s="61">
        <v>0.8</v>
      </c>
      <c r="D75" s="61">
        <v>0.6</v>
      </c>
      <c r="E75" s="61">
        <v>0.4</v>
      </c>
      <c r="F75" s="61">
        <v>0.2</v>
      </c>
      <c r="G75" s="61">
        <v>0</v>
      </c>
      <c r="H75" s="61">
        <v>0.2</v>
      </c>
      <c r="I75" s="61">
        <v>0.4</v>
      </c>
      <c r="J75" s="61">
        <v>0.6</v>
      </c>
      <c r="K75" s="61">
        <v>0.8</v>
      </c>
      <c r="L75" s="61">
        <v>0.9</v>
      </c>
      <c r="M75" s="61">
        <v>0.95</v>
      </c>
      <c r="N75" s="61">
        <v>1</v>
      </c>
    </row>
    <row r="76" spans="1:14" ht="12.75">
      <c r="A76" s="51" t="s">
        <v>198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 ht="12.75">
      <c r="A77" s="35">
        <v>0.95</v>
      </c>
      <c r="B77" s="33"/>
      <c r="C77" s="33">
        <v>44.8</v>
      </c>
      <c r="D77" s="33">
        <v>72</v>
      </c>
      <c r="E77" s="33">
        <v>88.8</v>
      </c>
      <c r="F77" s="33">
        <v>97.2</v>
      </c>
      <c r="G77" s="62">
        <v>100</v>
      </c>
      <c r="H77" s="33">
        <v>97.2</v>
      </c>
      <c r="I77" s="33">
        <v>88.8</v>
      </c>
      <c r="J77" s="33">
        <v>72</v>
      </c>
      <c r="K77" s="33">
        <v>44.8</v>
      </c>
      <c r="L77" s="33">
        <v>29.5</v>
      </c>
      <c r="M77" s="33">
        <v>21.6</v>
      </c>
      <c r="N77" s="33"/>
    </row>
    <row r="78" spans="1:14" ht="12.75">
      <c r="A78" s="35">
        <v>0.9</v>
      </c>
      <c r="B78" s="33"/>
      <c r="C78" s="33">
        <v>45.15</v>
      </c>
      <c r="D78" s="33">
        <v>70</v>
      </c>
      <c r="E78" s="33">
        <v>87</v>
      </c>
      <c r="F78" s="33">
        <v>97</v>
      </c>
      <c r="G78" s="62">
        <v>100</v>
      </c>
      <c r="H78" s="33">
        <v>97</v>
      </c>
      <c r="I78" s="33">
        <v>87</v>
      </c>
      <c r="J78" s="33">
        <v>70</v>
      </c>
      <c r="K78" s="33">
        <v>45.15</v>
      </c>
      <c r="L78" s="33">
        <v>30.1</v>
      </c>
      <c r="M78" s="33">
        <v>22</v>
      </c>
      <c r="N78" s="33"/>
    </row>
    <row r="79" spans="1:14" ht="12.75">
      <c r="A79" s="35">
        <v>0.8</v>
      </c>
      <c r="B79" s="33"/>
      <c r="C79" s="33">
        <v>40.95</v>
      </c>
      <c r="D79" s="33">
        <v>67.8</v>
      </c>
      <c r="E79" s="33">
        <v>85.3</v>
      </c>
      <c r="F79" s="33">
        <v>96.7</v>
      </c>
      <c r="G79" s="62">
        <v>100</v>
      </c>
      <c r="H79" s="33">
        <v>97</v>
      </c>
      <c r="I79" s="33">
        <v>85.3</v>
      </c>
      <c r="J79" s="33">
        <v>68.7</v>
      </c>
      <c r="K79" s="33">
        <v>47.25</v>
      </c>
      <c r="L79" s="33">
        <v>31.65</v>
      </c>
      <c r="M79" s="33">
        <v>22.45</v>
      </c>
      <c r="N79" s="33"/>
    </row>
    <row r="80" spans="1:14" ht="12.75">
      <c r="A80" s="35">
        <v>0.7</v>
      </c>
      <c r="B80" s="33"/>
      <c r="C80" s="33">
        <v>39.4</v>
      </c>
      <c r="D80" s="33">
        <v>66.9</v>
      </c>
      <c r="E80" s="33">
        <v>84.9</v>
      </c>
      <c r="F80" s="33">
        <v>96.65</v>
      </c>
      <c r="G80" s="62">
        <v>100</v>
      </c>
      <c r="H80" s="33">
        <v>97.6</v>
      </c>
      <c r="I80" s="33">
        <v>88.8</v>
      </c>
      <c r="J80" s="33">
        <v>72.15</v>
      </c>
      <c r="K80" s="33">
        <v>49</v>
      </c>
      <c r="L80" s="33">
        <v>32.95</v>
      </c>
      <c r="M80" s="33">
        <v>23</v>
      </c>
      <c r="N80" s="33"/>
    </row>
    <row r="81" spans="1:14" ht="12.75">
      <c r="A81" s="35">
        <v>0.6</v>
      </c>
      <c r="B81" s="33"/>
      <c r="C81" s="33">
        <v>40.2</v>
      </c>
      <c r="D81" s="33">
        <v>67.15</v>
      </c>
      <c r="E81" s="33">
        <v>85.4</v>
      </c>
      <c r="F81" s="33">
        <v>96.8</v>
      </c>
      <c r="G81" s="62">
        <v>100</v>
      </c>
      <c r="H81" s="33">
        <v>98.1</v>
      </c>
      <c r="I81" s="33">
        <v>89.85</v>
      </c>
      <c r="J81" s="33">
        <v>73.55</v>
      </c>
      <c r="K81" s="33">
        <v>51.65</v>
      </c>
      <c r="L81" s="33">
        <v>34.85</v>
      </c>
      <c r="M81" s="33">
        <v>25.3</v>
      </c>
      <c r="N81" s="33"/>
    </row>
    <row r="82" spans="1:14" ht="12.75">
      <c r="A82" s="35">
        <v>0.5</v>
      </c>
      <c r="B82" s="33"/>
      <c r="C82" s="33">
        <v>43.4</v>
      </c>
      <c r="D82" s="33">
        <v>68.4</v>
      </c>
      <c r="E82" s="33">
        <v>86.1</v>
      </c>
      <c r="F82" s="33">
        <v>96.95</v>
      </c>
      <c r="G82" s="62">
        <v>100</v>
      </c>
      <c r="H82" s="33">
        <v>97</v>
      </c>
      <c r="I82" s="33">
        <v>89.7</v>
      </c>
      <c r="J82" s="33">
        <v>76</v>
      </c>
      <c r="K82" s="33">
        <v>57.45</v>
      </c>
      <c r="L82" s="33">
        <v>42</v>
      </c>
      <c r="M82" s="33">
        <v>32.95</v>
      </c>
      <c r="N82" s="33"/>
    </row>
    <row r="83" spans="1:14" ht="12.75">
      <c r="A83" s="35">
        <v>0.4</v>
      </c>
      <c r="B83" s="33"/>
      <c r="C83" s="33">
        <v>47.7</v>
      </c>
      <c r="D83" s="33">
        <v>70.25</v>
      </c>
      <c r="E83" s="33">
        <v>86.55</v>
      </c>
      <c r="F83" s="33">
        <v>97</v>
      </c>
      <c r="G83" s="62">
        <v>100</v>
      </c>
      <c r="H83" s="33">
        <v>97.5</v>
      </c>
      <c r="I83" s="33">
        <v>90.4</v>
      </c>
      <c r="J83" s="33">
        <v>78.35</v>
      </c>
      <c r="K83" s="33">
        <v>61.6</v>
      </c>
      <c r="L83" s="33">
        <v>48.75</v>
      </c>
      <c r="M83" s="33">
        <v>40.75</v>
      </c>
      <c r="N83" s="33"/>
    </row>
    <row r="84" spans="1:14" ht="12.75">
      <c r="A84" s="35">
        <v>0.3</v>
      </c>
      <c r="B84" s="33"/>
      <c r="C84" s="33">
        <v>50.95</v>
      </c>
      <c r="D84" s="33">
        <v>71.6</v>
      </c>
      <c r="E84" s="33">
        <v>86.8</v>
      </c>
      <c r="F84" s="33">
        <v>96.8</v>
      </c>
      <c r="G84" s="62">
        <v>100</v>
      </c>
      <c r="H84" s="33">
        <v>98.15</v>
      </c>
      <c r="I84" s="33">
        <v>91.35</v>
      </c>
      <c r="J84" s="33">
        <v>80.45</v>
      </c>
      <c r="K84" s="33">
        <v>64.85</v>
      </c>
      <c r="L84" s="33">
        <v>53.7</v>
      </c>
      <c r="M84" s="33">
        <v>46.55</v>
      </c>
      <c r="N84" s="33"/>
    </row>
    <row r="85" spans="1:14" ht="12.75">
      <c r="A85" s="35">
        <v>0.2</v>
      </c>
      <c r="B85" s="33"/>
      <c r="C85" s="33">
        <v>53.35</v>
      </c>
      <c r="D85" s="33">
        <v>72.65</v>
      </c>
      <c r="E85" s="33">
        <v>86.9</v>
      </c>
      <c r="F85" s="33">
        <v>96.45</v>
      </c>
      <c r="G85" s="62">
        <v>100</v>
      </c>
      <c r="H85" s="33">
        <v>98.15</v>
      </c>
      <c r="I85" s="33">
        <v>92.45</v>
      </c>
      <c r="J85" s="33">
        <v>82.35</v>
      </c>
      <c r="K85" s="33">
        <v>67.45</v>
      </c>
      <c r="L85" s="33">
        <v>57.2</v>
      </c>
      <c r="M85" s="33">
        <v>50.6</v>
      </c>
      <c r="N85" s="33"/>
    </row>
    <row r="86" spans="1:14" ht="12.75">
      <c r="A86" s="51" t="s">
        <v>199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</row>
    <row r="87" spans="1:14" ht="12.75">
      <c r="A87" s="35">
        <v>0.6</v>
      </c>
      <c r="B87" s="33">
        <v>5.1</v>
      </c>
      <c r="C87" s="33"/>
      <c r="D87" s="33"/>
      <c r="E87" s="33"/>
      <c r="F87" s="33"/>
      <c r="G87" s="62">
        <v>0</v>
      </c>
      <c r="H87" s="33"/>
      <c r="I87" s="33"/>
      <c r="J87" s="33"/>
      <c r="K87" s="33"/>
      <c r="L87" s="33">
        <v>0.5</v>
      </c>
      <c r="M87" s="33">
        <v>1.95</v>
      </c>
      <c r="N87" s="33">
        <v>10.25</v>
      </c>
    </row>
    <row r="88" spans="1:14" ht="12.75">
      <c r="A88" s="35">
        <v>0.5</v>
      </c>
      <c r="B88" s="33">
        <v>9.7</v>
      </c>
      <c r="C88" s="33">
        <v>1.75</v>
      </c>
      <c r="D88" s="33"/>
      <c r="E88" s="33"/>
      <c r="F88" s="33"/>
      <c r="G88" s="62">
        <v>0</v>
      </c>
      <c r="H88" s="33"/>
      <c r="I88" s="33"/>
      <c r="J88" s="33">
        <v>0.35</v>
      </c>
      <c r="K88" s="33">
        <v>1.7</v>
      </c>
      <c r="L88" s="33">
        <v>4.45</v>
      </c>
      <c r="M88" s="33">
        <v>7.25</v>
      </c>
      <c r="N88" s="33">
        <v>17.05</v>
      </c>
    </row>
    <row r="89" spans="1:14" ht="12.75">
      <c r="A89" s="35">
        <v>0.4</v>
      </c>
      <c r="B89" s="33">
        <v>17.85</v>
      </c>
      <c r="C89" s="33">
        <v>6.2</v>
      </c>
      <c r="D89" s="33">
        <v>1.5</v>
      </c>
      <c r="E89" s="33"/>
      <c r="F89" s="33"/>
      <c r="G89" s="62">
        <v>0</v>
      </c>
      <c r="H89" s="33"/>
      <c r="I89" s="33">
        <v>0.3</v>
      </c>
      <c r="J89" s="33">
        <v>1.75</v>
      </c>
      <c r="K89" s="33">
        <v>5.9</v>
      </c>
      <c r="L89" s="33">
        <v>9.9</v>
      </c>
      <c r="M89" s="33">
        <v>13.45</v>
      </c>
      <c r="N89" s="33">
        <v>24.35</v>
      </c>
    </row>
    <row r="90" spans="1:14" ht="12.75">
      <c r="A90" s="35">
        <v>0.3</v>
      </c>
      <c r="B90" s="33">
        <v>25.35</v>
      </c>
      <c r="C90" s="33">
        <v>12.2</v>
      </c>
      <c r="D90" s="33">
        <v>5.8</v>
      </c>
      <c r="E90" s="33">
        <v>1.7</v>
      </c>
      <c r="F90" s="33"/>
      <c r="G90" s="62">
        <v>0</v>
      </c>
      <c r="H90" s="33">
        <v>0.45</v>
      </c>
      <c r="I90" s="33">
        <v>1.3</v>
      </c>
      <c r="J90" s="33">
        <v>4.65</v>
      </c>
      <c r="K90" s="33">
        <v>10.9</v>
      </c>
      <c r="L90" s="33">
        <v>16.25</v>
      </c>
      <c r="M90" s="33">
        <v>19.8</v>
      </c>
      <c r="N90" s="33">
        <v>31</v>
      </c>
    </row>
    <row r="91" spans="1:14" ht="12.75">
      <c r="A91" s="35">
        <v>0.2</v>
      </c>
      <c r="B91" s="33">
        <v>30</v>
      </c>
      <c r="C91" s="33">
        <v>18.2</v>
      </c>
      <c r="D91" s="33">
        <v>10.9</v>
      </c>
      <c r="E91" s="33">
        <v>5.45</v>
      </c>
      <c r="F91" s="33">
        <v>1.55</v>
      </c>
      <c r="G91" s="62">
        <v>0</v>
      </c>
      <c r="H91" s="33">
        <v>0.45</v>
      </c>
      <c r="I91" s="33">
        <v>2.8</v>
      </c>
      <c r="J91" s="33">
        <v>7.4</v>
      </c>
      <c r="K91" s="33">
        <v>15.5</v>
      </c>
      <c r="L91" s="33">
        <v>21.65</v>
      </c>
      <c r="M91" s="33">
        <v>25.95</v>
      </c>
      <c r="N91" s="33">
        <v>36.75</v>
      </c>
    </row>
    <row r="93" ht="12.75">
      <c r="A93" s="5" t="s">
        <v>343</v>
      </c>
    </row>
    <row r="94" spans="1:14" ht="12.75">
      <c r="A94" s="51" t="s">
        <v>196</v>
      </c>
      <c r="B94" s="52"/>
      <c r="C94" s="52"/>
      <c r="D94" s="52"/>
      <c r="E94" s="52"/>
      <c r="F94" s="52"/>
      <c r="G94" s="26"/>
      <c r="H94" s="51" t="s">
        <v>197</v>
      </c>
      <c r="I94" s="52"/>
      <c r="J94" s="52"/>
      <c r="K94" s="52"/>
      <c r="L94" s="52"/>
      <c r="M94" s="52"/>
      <c r="N94" s="53"/>
    </row>
    <row r="95" spans="1:14" ht="12.75">
      <c r="A95" s="35" t="s">
        <v>167</v>
      </c>
      <c r="B95" s="61">
        <v>1</v>
      </c>
      <c r="C95" s="61">
        <v>0.8</v>
      </c>
      <c r="D95" s="61">
        <v>0.6</v>
      </c>
      <c r="E95" s="61">
        <v>0.4</v>
      </c>
      <c r="F95" s="61">
        <v>0.2</v>
      </c>
      <c r="G95" s="61">
        <v>0</v>
      </c>
      <c r="H95" s="61">
        <v>0.2</v>
      </c>
      <c r="I95" s="61">
        <v>0.4</v>
      </c>
      <c r="J95" s="61">
        <v>0.6</v>
      </c>
      <c r="K95" s="61">
        <v>0.8</v>
      </c>
      <c r="L95" s="61">
        <v>0.9</v>
      </c>
      <c r="M95" s="61">
        <v>0.95</v>
      </c>
      <c r="N95" s="61">
        <v>1</v>
      </c>
    </row>
    <row r="96" spans="1:14" ht="12.75">
      <c r="A96" s="51" t="s">
        <v>198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3"/>
    </row>
    <row r="97" spans="1:14" ht="12.75">
      <c r="A97" s="63"/>
      <c r="B97" s="64">
        <f>F13-J13</f>
        <v>237.65049</v>
      </c>
      <c r="C97" s="64">
        <f>0.8*B97</f>
        <v>190.120392</v>
      </c>
      <c r="D97" s="64">
        <f>0.6*B97</f>
        <v>142.590294</v>
      </c>
      <c r="E97" s="64">
        <f>0.4*B97</f>
        <v>95.060196</v>
      </c>
      <c r="F97" s="64">
        <f>0.2*B97</f>
        <v>47.530098</v>
      </c>
      <c r="G97" s="64">
        <v>0</v>
      </c>
      <c r="H97" s="64">
        <f>0.2*N97</f>
        <v>47.530098</v>
      </c>
      <c r="I97" s="64">
        <f>0.4*N97</f>
        <v>95.060196</v>
      </c>
      <c r="J97" s="64">
        <f>0.6*N97</f>
        <v>142.590294</v>
      </c>
      <c r="K97" s="64">
        <f>0.8*N97</f>
        <v>190.120392</v>
      </c>
      <c r="L97" s="64">
        <f>0.9*N97</f>
        <v>213.885441</v>
      </c>
      <c r="M97" s="64">
        <f>0.95*N97</f>
        <v>225.76796549999997</v>
      </c>
      <c r="N97" s="64">
        <f>J13</f>
        <v>237.65049</v>
      </c>
    </row>
    <row r="98" spans="1:14" ht="12.75">
      <c r="A98" s="57">
        <v>0.95</v>
      </c>
      <c r="B98" s="65"/>
      <c r="C98" s="66">
        <f>G98*C77/100</f>
        <v>3.92</v>
      </c>
      <c r="D98" s="66">
        <f>G98*D77/100</f>
        <v>6.3</v>
      </c>
      <c r="E98" s="66">
        <f>G98*E77/100</f>
        <v>7.77</v>
      </c>
      <c r="F98" s="66">
        <f>G98*F77/100</f>
        <v>8.505</v>
      </c>
      <c r="G98" s="66">
        <f>0.5*(C66+C67)</f>
        <v>8.75</v>
      </c>
      <c r="H98" s="66">
        <f>G98*H77/100</f>
        <v>8.505</v>
      </c>
      <c r="I98" s="66">
        <f>G98*I77/100</f>
        <v>7.77</v>
      </c>
      <c r="J98" s="66">
        <f>G98*J77/100</f>
        <v>6.3</v>
      </c>
      <c r="K98" s="66">
        <f>G98*K77/100</f>
        <v>3.92</v>
      </c>
      <c r="L98" s="66">
        <f>G98*L77/100</f>
        <v>2.58125</v>
      </c>
      <c r="M98" s="66">
        <f>G98*M77/100</f>
        <v>1.89</v>
      </c>
      <c r="N98" s="66"/>
    </row>
    <row r="99" spans="1:14" ht="12.75">
      <c r="A99" s="55"/>
      <c r="B99" s="67">
        <f>F14-J14</f>
        <v>310.67594249999996</v>
      </c>
      <c r="C99" s="64">
        <f>0.8*B99</f>
        <v>248.540754</v>
      </c>
      <c r="D99" s="64">
        <f>0.6*B99</f>
        <v>186.40556549999997</v>
      </c>
      <c r="E99" s="64">
        <f>0.4*B99</f>
        <v>124.270377</v>
      </c>
      <c r="F99" s="64">
        <f>0.2*B99</f>
        <v>62.1351885</v>
      </c>
      <c r="G99" s="67">
        <v>0</v>
      </c>
      <c r="H99" s="64">
        <f>0.2*N99</f>
        <v>62.1351885</v>
      </c>
      <c r="I99" s="64">
        <f>0.4*N99</f>
        <v>124.270377</v>
      </c>
      <c r="J99" s="64">
        <f>0.6*N99</f>
        <v>186.40556549999997</v>
      </c>
      <c r="K99" s="64">
        <f>0.8*N99</f>
        <v>248.540754</v>
      </c>
      <c r="L99" s="64">
        <f>0.9*N99</f>
        <v>279.60834824999995</v>
      </c>
      <c r="M99" s="64">
        <f>0.95*N99</f>
        <v>295.1421453749999</v>
      </c>
      <c r="N99" s="67">
        <f>J14</f>
        <v>310.67594249999996</v>
      </c>
    </row>
    <row r="100" spans="1:14" ht="12.75">
      <c r="A100" s="57">
        <v>0.9</v>
      </c>
      <c r="B100" s="66"/>
      <c r="C100" s="66">
        <f>G100*C78/100</f>
        <v>5.64375</v>
      </c>
      <c r="D100" s="66">
        <f>G100*D78/100</f>
        <v>8.75</v>
      </c>
      <c r="E100" s="66">
        <f>G100*E78/100</f>
        <v>10.875</v>
      </c>
      <c r="F100" s="66">
        <f>G100*F78/100</f>
        <v>12.125</v>
      </c>
      <c r="G100" s="66">
        <f>C66</f>
        <v>12.5</v>
      </c>
      <c r="H100" s="66">
        <f>G100*H78/100</f>
        <v>12.125</v>
      </c>
      <c r="I100" s="66">
        <f>G100*I78/100</f>
        <v>10.875</v>
      </c>
      <c r="J100" s="66">
        <f>G100*J78/100</f>
        <v>8.75</v>
      </c>
      <c r="K100" s="66">
        <f>G100*K78/100</f>
        <v>5.64375</v>
      </c>
      <c r="L100" s="66">
        <f>G100*L78/100</f>
        <v>3.7625</v>
      </c>
      <c r="M100" s="66">
        <f>G100*M78/100</f>
        <v>2.75</v>
      </c>
      <c r="N100" s="66"/>
    </row>
    <row r="101" spans="1:14" ht="12.75">
      <c r="A101" s="55"/>
      <c r="B101" s="67">
        <f>F16-J16</f>
        <v>397.45937385</v>
      </c>
      <c r="C101" s="67">
        <f>0.8*B101</f>
        <v>317.96749908000004</v>
      </c>
      <c r="D101" s="67">
        <f>0.6*B101</f>
        <v>238.47562431</v>
      </c>
      <c r="E101" s="67">
        <f>0.4*B101</f>
        <v>158.98374954000002</v>
      </c>
      <c r="F101" s="67">
        <f>0.2*B101</f>
        <v>79.49187477000001</v>
      </c>
      <c r="G101" s="67">
        <v>0</v>
      </c>
      <c r="H101" s="64">
        <f>0.2*N101</f>
        <v>72.79141022999998</v>
      </c>
      <c r="I101" s="64">
        <f>0.4*N101</f>
        <v>145.58282045999997</v>
      </c>
      <c r="J101" s="64">
        <f>0.6*N101</f>
        <v>218.3742306899999</v>
      </c>
      <c r="K101" s="64">
        <f>0.8*N101</f>
        <v>291.16564091999993</v>
      </c>
      <c r="L101" s="64">
        <f>0.9*N101</f>
        <v>327.5613460349999</v>
      </c>
      <c r="M101" s="64">
        <f>0.95*N101</f>
        <v>345.75919859249984</v>
      </c>
      <c r="N101" s="67">
        <f>J16</f>
        <v>363.95705114999987</v>
      </c>
    </row>
    <row r="102" spans="1:14" ht="12.75">
      <c r="A102" s="57">
        <v>0.8</v>
      </c>
      <c r="B102" s="66"/>
      <c r="C102" s="66">
        <f>G102*C79/100</f>
        <v>8.19</v>
      </c>
      <c r="D102" s="66">
        <f>G102*D79/100</f>
        <v>13.56</v>
      </c>
      <c r="E102" s="66">
        <f>G102*E79/100</f>
        <v>17.06</v>
      </c>
      <c r="F102" s="66">
        <f>G102*F79/100</f>
        <v>19.34</v>
      </c>
      <c r="G102" s="66">
        <f>C65</f>
        <v>20</v>
      </c>
      <c r="H102" s="66">
        <f>G102*H79/100</f>
        <v>19.4</v>
      </c>
      <c r="I102" s="66">
        <f>G102*I79/100</f>
        <v>17.06</v>
      </c>
      <c r="J102" s="66">
        <f>G102*J79/100</f>
        <v>13.74</v>
      </c>
      <c r="K102" s="66">
        <f>G102*K79/100</f>
        <v>9.45</v>
      </c>
      <c r="L102" s="66">
        <f>G102*L79/100</f>
        <v>6.33</v>
      </c>
      <c r="M102" s="66">
        <f>G102*M79/100</f>
        <v>4.49</v>
      </c>
      <c r="N102" s="66"/>
    </row>
    <row r="103" spans="1:14" ht="12.75">
      <c r="A103" s="55"/>
      <c r="B103" s="67">
        <f>F18-J18</f>
        <v>453.88143801</v>
      </c>
      <c r="C103" s="67">
        <f>0.8*B103</f>
        <v>363.10515040800004</v>
      </c>
      <c r="D103" s="67">
        <f>0.6*B103</f>
        <v>272.328862806</v>
      </c>
      <c r="E103" s="67">
        <f>0.4*B103</f>
        <v>181.55257520400002</v>
      </c>
      <c r="F103" s="67">
        <f>0.2*B103</f>
        <v>90.77628760200001</v>
      </c>
      <c r="G103" s="67">
        <v>0</v>
      </c>
      <c r="H103" s="64">
        <f>0.2*N103</f>
        <v>71.905231398</v>
      </c>
      <c r="I103" s="64">
        <f>0.4*N103</f>
        <v>143.810462796</v>
      </c>
      <c r="J103" s="64">
        <f>0.6*N103</f>
        <v>215.715694194</v>
      </c>
      <c r="K103" s="64">
        <f>0.8*N103</f>
        <v>287.620925592</v>
      </c>
      <c r="L103" s="64">
        <f>0.9*N103</f>
        <v>323.573541291</v>
      </c>
      <c r="M103" s="64">
        <f>0.95*N103</f>
        <v>341.5498491405</v>
      </c>
      <c r="N103" s="67">
        <f>J18</f>
        <v>359.52615699</v>
      </c>
    </row>
    <row r="104" spans="1:14" ht="12.75">
      <c r="A104" s="57">
        <v>0.7</v>
      </c>
      <c r="B104" s="66"/>
      <c r="C104" s="66">
        <f>G104*C80/100</f>
        <v>10.835</v>
      </c>
      <c r="D104" s="66">
        <f>G104*D80/100</f>
        <v>18.3975</v>
      </c>
      <c r="E104" s="66">
        <f>G104*E80/100</f>
        <v>23.3475</v>
      </c>
      <c r="F104" s="66">
        <f>G104*F80/100</f>
        <v>26.57875</v>
      </c>
      <c r="G104" s="66">
        <f>C64</f>
        <v>27.5</v>
      </c>
      <c r="H104" s="66">
        <f>G104*H80/100</f>
        <v>26.84</v>
      </c>
      <c r="I104" s="66">
        <f>G104*I80/100</f>
        <v>24.42</v>
      </c>
      <c r="J104" s="66">
        <f>G104*J80/100</f>
        <v>19.841250000000002</v>
      </c>
      <c r="K104" s="66">
        <f>G104*K80/100</f>
        <v>13.475</v>
      </c>
      <c r="L104" s="66">
        <f>G104*L80/100</f>
        <v>9.061250000000001</v>
      </c>
      <c r="M104" s="66">
        <f>G104*M80/100</f>
        <v>6.325</v>
      </c>
      <c r="N104" s="66"/>
    </row>
    <row r="105" spans="1:14" ht="12.75">
      <c r="A105" s="55"/>
      <c r="B105" s="67">
        <f>F20-J20</f>
        <v>501.05055</v>
      </c>
      <c r="C105" s="67">
        <f>0.8*B105</f>
        <v>400.84044</v>
      </c>
      <c r="D105" s="67">
        <f>0.6*B105</f>
        <v>300.63032999999996</v>
      </c>
      <c r="E105" s="67">
        <f>0.4*B105</f>
        <v>200.42022</v>
      </c>
      <c r="F105" s="67">
        <f>0.2*B105</f>
        <v>100.21011</v>
      </c>
      <c r="G105" s="67">
        <v>0</v>
      </c>
      <c r="H105" s="64">
        <f>0.2*N105</f>
        <v>63.79989</v>
      </c>
      <c r="I105" s="64">
        <f>0.4*N105</f>
        <v>127.59978</v>
      </c>
      <c r="J105" s="64">
        <f>0.6*N105</f>
        <v>191.39967</v>
      </c>
      <c r="K105" s="64">
        <f>0.8*N105</f>
        <v>255.19956</v>
      </c>
      <c r="L105" s="64">
        <f>0.9*N105</f>
        <v>287.09950499999997</v>
      </c>
      <c r="M105" s="64">
        <f>0.95*N105</f>
        <v>303.04947749999997</v>
      </c>
      <c r="N105" s="67">
        <f>J20</f>
        <v>318.99944999999997</v>
      </c>
    </row>
    <row r="106" spans="1:14" ht="12.75">
      <c r="A106" s="57">
        <v>0.6</v>
      </c>
      <c r="B106" s="66"/>
      <c r="C106" s="66">
        <f>G106*C81/100</f>
        <v>14.07</v>
      </c>
      <c r="D106" s="66">
        <f>G106*D81/100</f>
        <v>23.5025</v>
      </c>
      <c r="E106" s="66">
        <f>G106*E81/100</f>
        <v>29.89</v>
      </c>
      <c r="F106" s="66">
        <f>G106*F81/100</f>
        <v>33.88</v>
      </c>
      <c r="G106" s="66">
        <f>C63</f>
        <v>35</v>
      </c>
      <c r="H106" s="66">
        <f>G106*H81/100</f>
        <v>34.335</v>
      </c>
      <c r="I106" s="66">
        <f>G106*I81/100</f>
        <v>31.4475</v>
      </c>
      <c r="J106" s="66">
        <f>G106*J81/100</f>
        <v>25.7425</v>
      </c>
      <c r="K106" s="66">
        <f>G106*K81/100</f>
        <v>18.0775</v>
      </c>
      <c r="L106" s="66">
        <f>G106*L81/100</f>
        <v>12.1975</v>
      </c>
      <c r="M106" s="66">
        <f>G106*M81/100</f>
        <v>8.855</v>
      </c>
      <c r="N106" s="66"/>
    </row>
    <row r="107" spans="1:14" ht="12.75">
      <c r="A107" s="55"/>
      <c r="B107" s="67">
        <f>F22-J22</f>
        <v>513.328748625</v>
      </c>
      <c r="C107" s="67">
        <f>0.8*B107</f>
        <v>410.66299890000005</v>
      </c>
      <c r="D107" s="67">
        <f>0.6*B107</f>
        <v>307.997249175</v>
      </c>
      <c r="E107" s="67">
        <f>0.4*B107</f>
        <v>205.33149945000002</v>
      </c>
      <c r="F107" s="67">
        <f>0.2*B107</f>
        <v>102.66574972500001</v>
      </c>
      <c r="G107" s="67">
        <v>0</v>
      </c>
      <c r="H107" s="64">
        <f>0.2*N107</f>
        <v>56.505955275</v>
      </c>
      <c r="I107" s="64">
        <f>0.4*N107</f>
        <v>113.01191055</v>
      </c>
      <c r="J107" s="64">
        <f>0.6*N107</f>
        <v>169.51786582499997</v>
      </c>
      <c r="K107" s="64">
        <f>0.8*N107</f>
        <v>226.0238211</v>
      </c>
      <c r="L107" s="64">
        <f>0.9*N107</f>
        <v>254.2767987375</v>
      </c>
      <c r="M107" s="64">
        <f>0.95*N107</f>
        <v>268.40328755624995</v>
      </c>
      <c r="N107" s="67">
        <f>J22</f>
        <v>282.529776375</v>
      </c>
    </row>
    <row r="108" spans="1:15" ht="12.75">
      <c r="A108" s="57">
        <v>0.5</v>
      </c>
      <c r="B108" s="66"/>
      <c r="C108" s="66">
        <f>G108*C82/100</f>
        <v>18.445</v>
      </c>
      <c r="D108" s="66">
        <f>G108*D82/100</f>
        <v>29.070000000000004</v>
      </c>
      <c r="E108" s="66">
        <f>G108*E82/100</f>
        <v>36.592499999999994</v>
      </c>
      <c r="F108" s="66">
        <f>G108*F82/100</f>
        <v>41.20375</v>
      </c>
      <c r="G108" s="66">
        <f>C62</f>
        <v>42.5</v>
      </c>
      <c r="H108" s="66">
        <f>G108*H82/100</f>
        <v>41.225</v>
      </c>
      <c r="I108" s="66">
        <f>G108*I82/100</f>
        <v>38.1225</v>
      </c>
      <c r="J108" s="66">
        <f>G108*J82/100</f>
        <v>32.3</v>
      </c>
      <c r="K108" s="66">
        <f>G108*K82/100</f>
        <v>24.41625</v>
      </c>
      <c r="L108" s="66">
        <f>G108*L82/100</f>
        <v>17.85</v>
      </c>
      <c r="M108" s="66">
        <f>G108*M82/100</f>
        <v>14.003750000000002</v>
      </c>
      <c r="N108" s="66"/>
      <c r="O108" s="7"/>
    </row>
    <row r="109" spans="1:14" ht="12.75">
      <c r="A109" s="55"/>
      <c r="B109" s="67">
        <f>F24-J24</f>
        <v>488.635239015</v>
      </c>
      <c r="C109" s="67">
        <f>0.8*B109</f>
        <v>390.908191212</v>
      </c>
      <c r="D109" s="67">
        <f>0.6*B109</f>
        <v>293.181143409</v>
      </c>
      <c r="E109" s="67">
        <f>0.4*B109</f>
        <v>195.454095606</v>
      </c>
      <c r="F109" s="67">
        <f>0.2*B109</f>
        <v>97.727047803</v>
      </c>
      <c r="G109" s="67">
        <v>0</v>
      </c>
      <c r="H109" s="64">
        <f>0.2*N109</f>
        <v>52.391305197</v>
      </c>
      <c r="I109" s="64">
        <f>0.4*N109</f>
        <v>104.782610394</v>
      </c>
      <c r="J109" s="64">
        <f>0.6*N109</f>
        <v>157.173915591</v>
      </c>
      <c r="K109" s="64">
        <f>0.8*N109</f>
        <v>209.565220788</v>
      </c>
      <c r="L109" s="64">
        <f>0.9*N109</f>
        <v>235.76087338649998</v>
      </c>
      <c r="M109" s="64">
        <f>0.95*N109</f>
        <v>248.85869968574997</v>
      </c>
      <c r="N109" s="67">
        <f>J24</f>
        <v>261.956525985</v>
      </c>
    </row>
    <row r="110" spans="1:14" ht="12.75">
      <c r="A110" s="57">
        <v>0.4</v>
      </c>
      <c r="B110" s="66"/>
      <c r="C110" s="66">
        <f>G110*C83/100</f>
        <v>23.85</v>
      </c>
      <c r="D110" s="66">
        <f>G110*D83/100</f>
        <v>35.125</v>
      </c>
      <c r="E110" s="66">
        <f>G110*E83/100</f>
        <v>43.275</v>
      </c>
      <c r="F110" s="66">
        <f>G110*F83/100</f>
        <v>48.5</v>
      </c>
      <c r="G110" s="66">
        <f>C61</f>
        <v>50</v>
      </c>
      <c r="H110" s="66">
        <f>G110*H83/100</f>
        <v>48.75</v>
      </c>
      <c r="I110" s="66">
        <f>G110*I83/100</f>
        <v>45.2</v>
      </c>
      <c r="J110" s="66">
        <f>G110*J83/100</f>
        <v>39.175</v>
      </c>
      <c r="K110" s="66">
        <f>G110*K83/100</f>
        <v>30.8</v>
      </c>
      <c r="L110" s="66">
        <f>G110*L83/100</f>
        <v>24.375</v>
      </c>
      <c r="M110" s="66">
        <f>G110*M83/100</f>
        <v>20.375</v>
      </c>
      <c r="N110" s="66"/>
    </row>
    <row r="111" spans="1:14" ht="12.75">
      <c r="A111" s="55"/>
      <c r="B111" s="67">
        <f>F26-J26</f>
        <v>447.26757075</v>
      </c>
      <c r="C111" s="67">
        <f>0.8*B111</f>
        <v>357.8140566</v>
      </c>
      <c r="D111" s="67">
        <f>0.6*B111</f>
        <v>268.36054244999997</v>
      </c>
      <c r="E111" s="67">
        <f>0.4*B111</f>
        <v>178.9070283</v>
      </c>
      <c r="F111" s="67">
        <f>0.2*B111</f>
        <v>89.45351415</v>
      </c>
      <c r="G111" s="67">
        <v>0</v>
      </c>
      <c r="H111" s="64">
        <f>0.2*N111</f>
        <v>48.16727685000001</v>
      </c>
      <c r="I111" s="64">
        <f>0.4*N111</f>
        <v>96.33455370000001</v>
      </c>
      <c r="J111" s="64">
        <f>0.6*N111</f>
        <v>144.50183055</v>
      </c>
      <c r="K111" s="64">
        <f>0.8*N111</f>
        <v>192.66910740000003</v>
      </c>
      <c r="L111" s="64">
        <f>0.9*N111</f>
        <v>216.752745825</v>
      </c>
      <c r="M111" s="64">
        <f>0.95*N111</f>
        <v>228.7945650375</v>
      </c>
      <c r="N111" s="67">
        <f>J26</f>
        <v>240.83638425</v>
      </c>
    </row>
    <row r="112" spans="1:14" ht="12.75">
      <c r="A112" s="57">
        <v>0.3</v>
      </c>
      <c r="B112" s="66"/>
      <c r="C112" s="66">
        <f>G112*C84/100</f>
        <v>29.29625</v>
      </c>
      <c r="D112" s="66">
        <f>G112*D84/100</f>
        <v>41.17</v>
      </c>
      <c r="E112" s="66">
        <f>G112*E84/100</f>
        <v>49.91</v>
      </c>
      <c r="F112" s="66">
        <f>G112*F84/100</f>
        <v>55.66</v>
      </c>
      <c r="G112" s="66">
        <f>C60</f>
        <v>57.5</v>
      </c>
      <c r="H112" s="66">
        <f>G112*H84/100</f>
        <v>56.43625</v>
      </c>
      <c r="I112" s="66">
        <f>G112*I84/100</f>
        <v>52.52625</v>
      </c>
      <c r="J112" s="66">
        <f>G112*J84/100</f>
        <v>46.25875</v>
      </c>
      <c r="K112" s="66">
        <f>G112*K84/100</f>
        <v>37.28874999999999</v>
      </c>
      <c r="L112" s="66">
        <f>G112*L84/100</f>
        <v>30.8775</v>
      </c>
      <c r="M112" s="66">
        <f>G112*M84/100</f>
        <v>26.76625</v>
      </c>
      <c r="N112" s="66"/>
    </row>
    <row r="113" spans="1:14" ht="12.75">
      <c r="A113" s="55"/>
      <c r="B113" s="67">
        <f>F28-J28</f>
        <v>398.33518725</v>
      </c>
      <c r="C113" s="67">
        <f>0.8*B113</f>
        <v>318.66814980000004</v>
      </c>
      <c r="D113" s="67">
        <f>0.6*B113</f>
        <v>239.00111234999997</v>
      </c>
      <c r="E113" s="67">
        <f>0.4*B113</f>
        <v>159.33407490000002</v>
      </c>
      <c r="F113" s="67">
        <f>0.2*B113</f>
        <v>79.66703745000001</v>
      </c>
      <c r="G113" s="67">
        <v>0</v>
      </c>
      <c r="H113" s="64">
        <f>0.2*N113</f>
        <v>42.897635550000004</v>
      </c>
      <c r="I113" s="64">
        <f>0.4*N113</f>
        <v>85.79527110000001</v>
      </c>
      <c r="J113" s="64">
        <f>0.6*N113</f>
        <v>128.69290665</v>
      </c>
      <c r="K113" s="64">
        <f>0.8*N113</f>
        <v>171.59054220000002</v>
      </c>
      <c r="L113" s="64">
        <f>0.9*N113</f>
        <v>193.039359975</v>
      </c>
      <c r="M113" s="64">
        <f>0.95*N113</f>
        <v>203.7637688625</v>
      </c>
      <c r="N113" s="67">
        <f>J28</f>
        <v>214.48817775</v>
      </c>
    </row>
    <row r="114" spans="1:14" ht="12.75">
      <c r="A114" s="57">
        <v>0.2</v>
      </c>
      <c r="B114" s="66"/>
      <c r="C114" s="66">
        <f>G114*C85/100</f>
        <v>34.6775</v>
      </c>
      <c r="D114" s="66">
        <f>G114*D85/100</f>
        <v>47.2225</v>
      </c>
      <c r="E114" s="66">
        <f>G114*E85/100</f>
        <v>56.485</v>
      </c>
      <c r="F114" s="66">
        <f>G114*F85/100</f>
        <v>62.6925</v>
      </c>
      <c r="G114" s="66">
        <f>C59</f>
        <v>65</v>
      </c>
      <c r="H114" s="66">
        <f>G114*H85/100</f>
        <v>63.7975</v>
      </c>
      <c r="I114" s="66">
        <f>G114*I85/100</f>
        <v>60.0925</v>
      </c>
      <c r="J114" s="66">
        <f>G114*J85/100</f>
        <v>53.5275</v>
      </c>
      <c r="K114" s="66">
        <f>G114*K85/100</f>
        <v>43.8425</v>
      </c>
      <c r="L114" s="66">
        <f>G114*L85/100</f>
        <v>37.18</v>
      </c>
      <c r="M114" s="66">
        <f>G114*M85/100</f>
        <v>32.89</v>
      </c>
      <c r="N114" s="66"/>
    </row>
    <row r="115" spans="1:14" ht="12.75">
      <c r="A115" s="51" t="s">
        <v>199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>
      <c r="A116" s="35">
        <v>0.6</v>
      </c>
      <c r="B116" s="59">
        <f>G106*B87/100</f>
        <v>1.785</v>
      </c>
      <c r="C116" s="59"/>
      <c r="D116" s="59"/>
      <c r="E116" s="59"/>
      <c r="F116" s="59"/>
      <c r="G116" s="59">
        <v>0</v>
      </c>
      <c r="H116" s="59"/>
      <c r="I116" s="59"/>
      <c r="J116" s="59"/>
      <c r="K116" s="59"/>
      <c r="L116" s="59">
        <f>G106*L87/100</f>
        <v>0.175</v>
      </c>
      <c r="M116" s="59">
        <f>G106*M87/100</f>
        <v>0.6825</v>
      </c>
      <c r="N116" s="59">
        <f>G106*N87/100</f>
        <v>3.5875</v>
      </c>
    </row>
    <row r="117" spans="1:14" ht="12.75">
      <c r="A117" s="35">
        <v>0.5</v>
      </c>
      <c r="B117" s="59">
        <f>G108*B88/100</f>
        <v>4.1225</v>
      </c>
      <c r="C117" s="59">
        <f>G108*C88/100</f>
        <v>0.74375</v>
      </c>
      <c r="D117" s="59"/>
      <c r="E117" s="59"/>
      <c r="F117" s="59"/>
      <c r="G117" s="59">
        <v>0</v>
      </c>
      <c r="H117" s="59"/>
      <c r="I117" s="59"/>
      <c r="J117" s="59">
        <f>G108*J88/100</f>
        <v>0.14875</v>
      </c>
      <c r="K117" s="59">
        <f>G108*K88/100</f>
        <v>0.7225</v>
      </c>
      <c r="L117" s="59">
        <f>G108*L88/100</f>
        <v>1.89125</v>
      </c>
      <c r="M117" s="59">
        <f>G108*M88/100</f>
        <v>3.08125</v>
      </c>
      <c r="N117" s="59">
        <f>G108*N88/100</f>
        <v>7.24625</v>
      </c>
    </row>
    <row r="118" spans="1:14" ht="12.75">
      <c r="A118" s="35">
        <v>0.4</v>
      </c>
      <c r="B118" s="59">
        <f>G110*B89/100</f>
        <v>8.925</v>
      </c>
      <c r="C118" s="59">
        <f>G110*C89/100</f>
        <v>3.1</v>
      </c>
      <c r="D118" s="59">
        <f>G110*D89/100</f>
        <v>0.75</v>
      </c>
      <c r="E118" s="59"/>
      <c r="F118" s="59"/>
      <c r="G118" s="59">
        <v>0</v>
      </c>
      <c r="H118" s="59"/>
      <c r="I118" s="59">
        <f>G110*I89/100</f>
        <v>0.15</v>
      </c>
      <c r="J118" s="59">
        <f>G110*J89/100</f>
        <v>0.875</v>
      </c>
      <c r="K118" s="59">
        <f>G110*K89/100</f>
        <v>2.95</v>
      </c>
      <c r="L118" s="59">
        <f>G110*L89/100</f>
        <v>4.95</v>
      </c>
      <c r="M118" s="59">
        <f>G110*M89/100</f>
        <v>6.725</v>
      </c>
      <c r="N118" s="59">
        <f>G110*N89/100</f>
        <v>12.175</v>
      </c>
    </row>
    <row r="119" spans="1:14" ht="12.75">
      <c r="A119" s="35">
        <v>0.3</v>
      </c>
      <c r="B119" s="59">
        <f>G112*B90/100</f>
        <v>14.57625</v>
      </c>
      <c r="C119" s="59">
        <f>G112*C90/100</f>
        <v>7.015</v>
      </c>
      <c r="D119" s="59">
        <f>G112*D90/100</f>
        <v>3.335</v>
      </c>
      <c r="E119" s="59">
        <f>G112*E90/100</f>
        <v>0.9775</v>
      </c>
      <c r="F119" s="59"/>
      <c r="G119" s="59">
        <v>0</v>
      </c>
      <c r="H119" s="59">
        <f>G112*H90/100</f>
        <v>0.25875</v>
      </c>
      <c r="I119" s="59">
        <f>G112*I90/100</f>
        <v>0.7475</v>
      </c>
      <c r="J119" s="59">
        <f>G112*J90/100</f>
        <v>2.67375</v>
      </c>
      <c r="K119" s="59">
        <f>G112*K90/100</f>
        <v>6.2675</v>
      </c>
      <c r="L119" s="59">
        <f>G112*L90/100</f>
        <v>9.34375</v>
      </c>
      <c r="M119" s="59">
        <f>G112*M90/100</f>
        <v>11.385</v>
      </c>
      <c r="N119" s="59">
        <f>G112*N90/100</f>
        <v>17.825</v>
      </c>
    </row>
    <row r="120" spans="1:14" ht="12.75">
      <c r="A120" s="35">
        <v>0.2</v>
      </c>
      <c r="B120" s="59">
        <f>G114*B91/100</f>
        <v>19.5</v>
      </c>
      <c r="C120" s="59">
        <f>G114*C91/100</f>
        <v>11.83</v>
      </c>
      <c r="D120" s="59">
        <f>G114*D91/100</f>
        <v>7.085</v>
      </c>
      <c r="E120" s="59">
        <f>G114*E91/100</f>
        <v>3.5425</v>
      </c>
      <c r="F120" s="59">
        <f>G114*F91/100</f>
        <v>1.0075</v>
      </c>
      <c r="G120" s="59">
        <v>0</v>
      </c>
      <c r="H120" s="59">
        <f>G114*H91/100</f>
        <v>0.2925</v>
      </c>
      <c r="I120" s="59">
        <f>G114*I91/100</f>
        <v>1.82</v>
      </c>
      <c r="J120" s="59">
        <f>G114*J91/100</f>
        <v>4.81</v>
      </c>
      <c r="K120" s="59">
        <f>G114*K91/100</f>
        <v>10.075</v>
      </c>
      <c r="L120" s="59">
        <f>G114*L91/100</f>
        <v>14.0725</v>
      </c>
      <c r="M120" s="59">
        <f>G114*M91/100</f>
        <v>16.8675</v>
      </c>
      <c r="N120" s="59">
        <f>G114*N91/100</f>
        <v>23.8875</v>
      </c>
    </row>
    <row r="122" ht="12.75">
      <c r="A122" t="s">
        <v>203</v>
      </c>
    </row>
    <row r="123" ht="12.75">
      <c r="A123" t="s">
        <v>204</v>
      </c>
    </row>
    <row r="127" ht="12.75">
      <c r="A127" t="s">
        <v>205</v>
      </c>
    </row>
    <row r="131" ht="12.75">
      <c r="A131" t="s">
        <v>206</v>
      </c>
    </row>
    <row r="135" ht="12.75">
      <c r="A135" t="s">
        <v>207</v>
      </c>
    </row>
    <row r="140" ht="12.75">
      <c r="A140" t="s">
        <v>208</v>
      </c>
    </row>
    <row r="147" ht="12.75">
      <c r="A147" t="s">
        <v>209</v>
      </c>
    </row>
    <row r="153" ht="12.75">
      <c r="A153" t="s">
        <v>210</v>
      </c>
    </row>
    <row r="160" ht="12.75">
      <c r="A160" t="s">
        <v>211</v>
      </c>
    </row>
    <row r="168" ht="12.75">
      <c r="A168" t="s">
        <v>212</v>
      </c>
    </row>
    <row r="178" ht="12.75">
      <c r="A178" t="s">
        <v>213</v>
      </c>
    </row>
    <row r="179" spans="1:9" ht="12.75">
      <c r="A179" s="69" t="s">
        <v>214</v>
      </c>
      <c r="B179" s="53"/>
      <c r="C179" s="33" t="s">
        <v>229</v>
      </c>
      <c r="D179" s="33" t="s">
        <v>215</v>
      </c>
      <c r="E179" s="70" t="s">
        <v>216</v>
      </c>
      <c r="F179" s="70" t="s">
        <v>230</v>
      </c>
      <c r="G179" s="71" t="s">
        <v>217</v>
      </c>
      <c r="H179" s="70" t="s">
        <v>218</v>
      </c>
      <c r="I179" s="72" t="s">
        <v>231</v>
      </c>
    </row>
    <row r="180" spans="1:12" ht="15.75">
      <c r="A180" s="55" t="s">
        <v>167</v>
      </c>
      <c r="B180" s="55" t="s">
        <v>222</v>
      </c>
      <c r="C180" s="55" t="s">
        <v>179</v>
      </c>
      <c r="D180" s="55" t="s">
        <v>178</v>
      </c>
      <c r="E180" s="73" t="s">
        <v>225</v>
      </c>
      <c r="F180" s="74" t="s">
        <v>245</v>
      </c>
      <c r="G180" s="55" t="s">
        <v>180</v>
      </c>
      <c r="H180" s="73" t="s">
        <v>226</v>
      </c>
      <c r="I180" s="74" t="s">
        <v>246</v>
      </c>
      <c r="L180" s="19"/>
    </row>
    <row r="181" spans="1:9" ht="12.75">
      <c r="A181" s="65"/>
      <c r="B181" s="57" t="s">
        <v>221</v>
      </c>
      <c r="C181" s="57" t="s">
        <v>221</v>
      </c>
      <c r="D181" s="57" t="s">
        <v>221</v>
      </c>
      <c r="E181" s="57" t="s">
        <v>224</v>
      </c>
      <c r="F181" s="57" t="s">
        <v>221</v>
      </c>
      <c r="G181" s="57" t="s">
        <v>221</v>
      </c>
      <c r="H181" s="57" t="s">
        <v>224</v>
      </c>
      <c r="I181" s="57" t="s">
        <v>221</v>
      </c>
    </row>
    <row r="182" spans="1:9" ht="12.75">
      <c r="A182" s="35">
        <v>0.95</v>
      </c>
      <c r="B182" s="59">
        <f>(1000*F57/2)*A182</f>
        <v>712.5</v>
      </c>
      <c r="C182" s="59">
        <f>F13</f>
        <v>475.30098</v>
      </c>
      <c r="D182" s="59">
        <f>G13</f>
        <v>-329.16807</v>
      </c>
      <c r="E182" s="59">
        <f>(D182/E197)*(180/PI())</f>
        <v>-25.660855516797263</v>
      </c>
      <c r="F182" s="59">
        <f>-E197*SIN(E182/(180/PI()))</f>
        <v>318.27358312774993</v>
      </c>
      <c r="G182" s="59">
        <f>H13</f>
        <v>146.13290999999998</v>
      </c>
      <c r="H182" s="59">
        <f>(G182/E197)*(180/PI())</f>
        <v>11.392038996246317</v>
      </c>
      <c r="I182" s="59">
        <f>E197*SIN(H182/(180/PI()))</f>
        <v>145.17197069195106</v>
      </c>
    </row>
    <row r="183" spans="1:9" ht="12.75">
      <c r="A183" s="35">
        <v>0.9</v>
      </c>
      <c r="B183" s="59">
        <f>(1000*F57/2)*A183</f>
        <v>675</v>
      </c>
      <c r="C183" s="59">
        <f>F14</f>
        <v>621.3518849999999</v>
      </c>
      <c r="D183" s="59">
        <f>G14</f>
        <v>-372.79472999999996</v>
      </c>
      <c r="E183" s="59">
        <f>(D183/E198)*(180/PI())</f>
        <v>-30.569667404056275</v>
      </c>
      <c r="F183" s="59">
        <f>-E198*SIN(E183/(180/PI()))</f>
        <v>355.3577550642795</v>
      </c>
      <c r="G183" s="59">
        <f>H14</f>
        <v>248.557155</v>
      </c>
      <c r="H183" s="59">
        <f>(G183/E198)*(180/PI())</f>
        <v>20.382019775999684</v>
      </c>
      <c r="I183" s="59">
        <f aca="true" t="shared" si="2" ref="I183:I190">E198*SIN(H183/(180/PI()))</f>
        <v>243.34789706002826</v>
      </c>
    </row>
    <row r="184" spans="1:9" ht="12.75">
      <c r="A184" s="35">
        <v>0.8</v>
      </c>
      <c r="B184" s="59">
        <f>(1000*F57/2)*A184</f>
        <v>600</v>
      </c>
      <c r="C184" s="59">
        <f>F16</f>
        <v>761.4164249999999</v>
      </c>
      <c r="D184" s="59">
        <f>G16</f>
        <v>-395.42810999999995</v>
      </c>
      <c r="E184" s="59">
        <f aca="true" t="shared" si="3" ref="E184:E190">(D184/E199)*(180/PI())</f>
        <v>-36.15286691102032</v>
      </c>
      <c r="F184" s="59">
        <f aca="true" t="shared" si="4" ref="F184:F190">-E199*SIN(E184/(180/PI()))</f>
        <v>369.70598411582165</v>
      </c>
      <c r="G184" s="59">
        <f>H16</f>
        <v>365.988315</v>
      </c>
      <c r="H184" s="59">
        <f aca="true" t="shared" si="5" ref="H184:H190">(G184/E199)*(180/PI())</f>
        <v>33.461270224778865</v>
      </c>
      <c r="I184" s="59">
        <f t="shared" si="2"/>
        <v>345.53581538948913</v>
      </c>
    </row>
    <row r="185" spans="1:9" ht="12.75">
      <c r="A185" s="35">
        <v>0.7</v>
      </c>
      <c r="B185" s="59">
        <f>(1000*F57/2)*A185</f>
        <v>525</v>
      </c>
      <c r="C185" s="59">
        <f>F18</f>
        <v>813.407595</v>
      </c>
      <c r="D185" s="59">
        <f>G18</f>
        <v>-385.17748499999993</v>
      </c>
      <c r="E185" s="59">
        <f t="shared" si="3"/>
        <v>-39.728677471049295</v>
      </c>
      <c r="F185" s="59">
        <f t="shared" si="4"/>
        <v>355.04560150304974</v>
      </c>
      <c r="G185" s="59">
        <f>H18</f>
        <v>428.23010999999997</v>
      </c>
      <c r="H185" s="59">
        <f t="shared" si="5"/>
        <v>44.16928970700861</v>
      </c>
      <c r="I185" s="59">
        <f t="shared" si="2"/>
        <v>387.0575615113863</v>
      </c>
    </row>
    <row r="186" spans="1:9" ht="12.75">
      <c r="A186" s="35">
        <v>0.6</v>
      </c>
      <c r="B186" s="59">
        <f>(1000*F57/2)*A186</f>
        <v>450</v>
      </c>
      <c r="C186" s="59">
        <f>F20</f>
        <v>820.05</v>
      </c>
      <c r="D186" s="59">
        <f>G20</f>
        <v>-362.29809</v>
      </c>
      <c r="E186" s="59">
        <f t="shared" si="3"/>
        <v>-42.74950647668807</v>
      </c>
      <c r="F186" s="59">
        <f t="shared" si="4"/>
        <v>329.6065513816063</v>
      </c>
      <c r="G186" s="59">
        <f>H20</f>
        <v>457.75191</v>
      </c>
      <c r="H186" s="59">
        <f t="shared" si="5"/>
        <v>54.012617734919154</v>
      </c>
      <c r="I186" s="59">
        <f t="shared" si="2"/>
        <v>392.90240493595417</v>
      </c>
    </row>
    <row r="187" spans="1:9" ht="12.75">
      <c r="A187" s="35">
        <v>0.5</v>
      </c>
      <c r="B187" s="59">
        <f>(1000*F57/2)*A187</f>
        <v>375</v>
      </c>
      <c r="C187" s="59">
        <f>F22</f>
        <v>795.858525</v>
      </c>
      <c r="D187" s="59">
        <f>G22</f>
        <v>-332.366265</v>
      </c>
      <c r="E187" s="59">
        <f t="shared" si="3"/>
        <v>-45.591485575795545</v>
      </c>
      <c r="F187" s="59">
        <f t="shared" si="4"/>
        <v>298.3858623181823</v>
      </c>
      <c r="G187" s="59">
        <f>H22</f>
        <v>463.49226000000004</v>
      </c>
      <c r="H187" s="59">
        <f t="shared" si="5"/>
        <v>63.578355902885875</v>
      </c>
      <c r="I187" s="59">
        <f t="shared" si="2"/>
        <v>374.06116600385616</v>
      </c>
    </row>
    <row r="188" spans="1:9" ht="12.75">
      <c r="A188" s="35">
        <v>0.4</v>
      </c>
      <c r="B188" s="59">
        <f>(1000*F57/2)*A188</f>
        <v>300</v>
      </c>
      <c r="C188" s="59">
        <f>F24</f>
        <v>750.591765</v>
      </c>
      <c r="D188" s="59">
        <f>G24</f>
        <v>-300.30231</v>
      </c>
      <c r="E188" s="59">
        <f t="shared" si="3"/>
        <v>-48.69207299411948</v>
      </c>
      <c r="F188" s="59">
        <f t="shared" si="4"/>
        <v>265.43788146729787</v>
      </c>
      <c r="G188" s="59">
        <f>H24</f>
        <v>450.2894549999999</v>
      </c>
      <c r="H188" s="59">
        <f t="shared" si="5"/>
        <v>73.01151633279902</v>
      </c>
      <c r="I188" s="59">
        <f t="shared" si="2"/>
        <v>337.9450074742116</v>
      </c>
    </row>
    <row r="189" spans="1:9" ht="12.75">
      <c r="A189" s="35">
        <v>0.3</v>
      </c>
      <c r="B189" s="59">
        <f>(1000*F57/2)*A189</f>
        <v>225</v>
      </c>
      <c r="C189" s="59">
        <f>F26</f>
        <v>688.103955</v>
      </c>
      <c r="D189" s="59">
        <f>G26</f>
        <v>-267.91033500000003</v>
      </c>
      <c r="E189" s="59">
        <f t="shared" si="3"/>
        <v>-51.831795683082454</v>
      </c>
      <c r="F189" s="59">
        <f t="shared" si="4"/>
        <v>232.8353178939004</v>
      </c>
      <c r="G189" s="59">
        <f>H26</f>
        <v>420.19362</v>
      </c>
      <c r="H189" s="59">
        <f t="shared" si="5"/>
        <v>81.29357853691903</v>
      </c>
      <c r="I189" s="59">
        <f t="shared" si="2"/>
        <v>292.74021114433464</v>
      </c>
    </row>
    <row r="190" spans="1:9" ht="12.75">
      <c r="A190" s="35">
        <v>0.2</v>
      </c>
      <c r="B190" s="59">
        <f>(1000*F57/2)*A190</f>
        <v>150</v>
      </c>
      <c r="C190" s="59">
        <f>F28</f>
        <v>612.823365</v>
      </c>
      <c r="D190" s="59">
        <f>G28</f>
        <v>-235.19034</v>
      </c>
      <c r="E190" s="59">
        <f t="shared" si="3"/>
        <v>-52.48882389987856</v>
      </c>
      <c r="F190" s="59">
        <f t="shared" si="4"/>
        <v>203.6464806687371</v>
      </c>
      <c r="G190" s="59">
        <f>H28</f>
        <v>377.633025</v>
      </c>
      <c r="H190" s="59">
        <f t="shared" si="5"/>
        <v>84.27860322836149</v>
      </c>
      <c r="I190" s="59">
        <f t="shared" si="2"/>
        <v>255.4502822462638</v>
      </c>
    </row>
    <row r="192" ht="12.75">
      <c r="A192" t="s">
        <v>219</v>
      </c>
    </row>
    <row r="193" spans="1:9" ht="12.75">
      <c r="A193" s="51" t="s">
        <v>232</v>
      </c>
      <c r="B193" s="52"/>
      <c r="C193" s="52"/>
      <c r="D193" s="52"/>
      <c r="E193" s="52"/>
      <c r="F193" s="52"/>
      <c r="G193" s="53"/>
      <c r="H193" s="75" t="s">
        <v>233</v>
      </c>
      <c r="I193" s="53"/>
    </row>
    <row r="194" spans="1:11" ht="12.75">
      <c r="A194" s="76" t="s">
        <v>214</v>
      </c>
      <c r="B194" s="77"/>
      <c r="C194" s="78" t="s">
        <v>220</v>
      </c>
      <c r="D194" s="77"/>
      <c r="E194" s="81" t="s">
        <v>243</v>
      </c>
      <c r="F194" s="55" t="s">
        <v>227</v>
      </c>
      <c r="G194" s="82" t="s">
        <v>228</v>
      </c>
      <c r="H194" s="55" t="s">
        <v>227</v>
      </c>
      <c r="I194" s="82" t="s">
        <v>228</v>
      </c>
      <c r="K194" s="21" t="s">
        <v>243</v>
      </c>
    </row>
    <row r="195" spans="1:11" ht="15.75">
      <c r="A195" s="56" t="s">
        <v>167</v>
      </c>
      <c r="B195" s="56" t="s">
        <v>222</v>
      </c>
      <c r="C195" s="56" t="s">
        <v>223</v>
      </c>
      <c r="D195" s="79" t="s">
        <v>234</v>
      </c>
      <c r="E195" s="83" t="s">
        <v>244</v>
      </c>
      <c r="F195" s="84" t="s">
        <v>235</v>
      </c>
      <c r="G195" s="84" t="s">
        <v>237</v>
      </c>
      <c r="H195" s="84" t="s">
        <v>238</v>
      </c>
      <c r="I195" s="84" t="s">
        <v>239</v>
      </c>
      <c r="K195" s="20" t="s">
        <v>299</v>
      </c>
    </row>
    <row r="196" spans="1:9" ht="12.75">
      <c r="A196" s="58"/>
      <c r="B196" s="56" t="s">
        <v>221</v>
      </c>
      <c r="C196" s="56" t="s">
        <v>221</v>
      </c>
      <c r="D196" s="80" t="s">
        <v>236</v>
      </c>
      <c r="E196" s="56" t="s">
        <v>221</v>
      </c>
      <c r="F196" s="56" t="s">
        <v>221</v>
      </c>
      <c r="G196" s="56" t="s">
        <v>221</v>
      </c>
      <c r="H196" s="56" t="s">
        <v>221</v>
      </c>
      <c r="I196" s="56" t="s">
        <v>221</v>
      </c>
    </row>
    <row r="197" spans="1:11" ht="12.75">
      <c r="A197" s="35">
        <v>0.95</v>
      </c>
      <c r="B197" s="59">
        <f>(1000*F57/2)*A197</f>
        <v>712.5</v>
      </c>
      <c r="C197" s="59">
        <f>1000*'optimális csavar jellemzői'!E8</f>
        <v>795</v>
      </c>
      <c r="D197" s="59">
        <f aca="true" t="shared" si="6" ref="D197:D205">ATAN(C197/(2*B197*PI()))*180/PI()</f>
        <v>10.069802366922724</v>
      </c>
      <c r="E197" s="59">
        <f>C197/(2*PI()*SIN(D197/(180/PI()))*COS(D197/(180/PI())))</f>
        <v>734.9693056461573</v>
      </c>
      <c r="F197" s="59">
        <f aca="true" t="shared" si="7" ref="F197:F205">-F182*COS(D197/(180/PI()))</f>
        <v>-313.3707281480604</v>
      </c>
      <c r="G197" s="59">
        <f aca="true" t="shared" si="8" ref="G197:G205">I182*COS(D197/(180/PI()))</f>
        <v>142.93566470505837</v>
      </c>
      <c r="H197" s="59">
        <f>-F182*SIN(D197/(180/PI()))</f>
        <v>-55.64944255723642</v>
      </c>
      <c r="I197" s="59">
        <f>I182*SIN(D197/(180/PI()))</f>
        <v>25.383002775633635</v>
      </c>
      <c r="K197" s="7">
        <f>POWER(POWER(B197/COS(D197/(180/PI())),2)+POWER((C197/(2*PI()))/COS(D197/(180/PI())),2),0.5)</f>
        <v>734.9693056461574</v>
      </c>
    </row>
    <row r="198" spans="1:11" ht="12.75">
      <c r="A198" s="35">
        <v>0.9</v>
      </c>
      <c r="B198" s="59">
        <f>(1000*F57/2)*A198</f>
        <v>675</v>
      </c>
      <c r="C198" s="59">
        <f>1000*'optimális csavar jellemzői'!E8</f>
        <v>795</v>
      </c>
      <c r="D198" s="59">
        <f t="shared" si="6"/>
        <v>10.616840996240922</v>
      </c>
      <c r="E198" s="59">
        <f>C198/(2*PI()*SIN(D198/(180/PI()))*COS(D198/(180/PI())))</f>
        <v>698.7176004042774</v>
      </c>
      <c r="F198" s="59">
        <f t="shared" si="7"/>
        <v>-349.27447012954724</v>
      </c>
      <c r="G198" s="59">
        <f t="shared" si="8"/>
        <v>239.18208225793882</v>
      </c>
      <c r="H198" s="59">
        <f>-F183*SIN(D198/(180/PI()))</f>
        <v>-65.47120435770576</v>
      </c>
      <c r="I198" s="59">
        <f>I183*SIN(D198/(180/PI()))</f>
        <v>44.83447925753897</v>
      </c>
      <c r="K198" s="7">
        <f>POWER(POWER(B198/COS(D198/(180/PI())),2)+POWER((C198/(2*PI()))/COS(D198/(180/PI())),2),0.5)</f>
        <v>698.7176004042772</v>
      </c>
    </row>
    <row r="199" spans="1:11" ht="12.75">
      <c r="A199" s="35">
        <v>0.8</v>
      </c>
      <c r="B199" s="59">
        <f>(1000*F57/2)*A199</f>
        <v>600</v>
      </c>
      <c r="C199" s="59">
        <f>1000*'optimális csavar jellemzői'!E8</f>
        <v>795</v>
      </c>
      <c r="D199" s="59">
        <f t="shared" si="6"/>
        <v>11.908077666149333</v>
      </c>
      <c r="E199" s="59">
        <f aca="true" t="shared" si="9" ref="E199:E205">C199/(2*PI()*SIN(D199/(180/PI()))*COS(D199/(180/PI())))</f>
        <v>626.6823004548119</v>
      </c>
      <c r="F199" s="59">
        <f t="shared" si="7"/>
        <v>-361.74987596632883</v>
      </c>
      <c r="G199" s="59">
        <f t="shared" si="8"/>
        <v>338.0998515834483</v>
      </c>
      <c r="H199" s="59">
        <f>-F184*SIN(D199/(180/PI()))</f>
        <v>-76.28592222287067</v>
      </c>
      <c r="I199" s="59">
        <f>I184*SIN(D199/(180/PI()))</f>
        <v>71.29859799553812</v>
      </c>
      <c r="K199" s="7">
        <f aca="true" t="shared" si="10" ref="K199:K205">POWER(POWER(B199/COS(D199/(180/PI())),2)+POWER((C199/(2*PI()))/COS(D199/(180/PI())),2),0.5)</f>
        <v>626.682300454812</v>
      </c>
    </row>
    <row r="200" spans="1:11" ht="12.75">
      <c r="A200" s="35">
        <v>0.7</v>
      </c>
      <c r="B200" s="59">
        <f>(1000*F57/2)*A200</f>
        <v>525</v>
      </c>
      <c r="C200" s="59">
        <f>1000*'optimális csavar jellemzői'!E8</f>
        <v>795</v>
      </c>
      <c r="D200" s="59">
        <f t="shared" si="6"/>
        <v>13.550224229562103</v>
      </c>
      <c r="E200" s="59">
        <f t="shared" si="9"/>
        <v>555.4940576626421</v>
      </c>
      <c r="F200" s="59">
        <f t="shared" si="7"/>
        <v>-345.1628765571026</v>
      </c>
      <c r="G200" s="59">
        <f t="shared" si="8"/>
        <v>376.2837808970863</v>
      </c>
      <c r="H200" s="59">
        <f>-F185*SIN(D200/(180/PI()))</f>
        <v>-83.18634379204772</v>
      </c>
      <c r="I200" s="59">
        <f>I185*SIN(D200/(180/PI()))</f>
        <v>90.68667022740533</v>
      </c>
      <c r="K200" s="7">
        <f t="shared" si="10"/>
        <v>555.494057662642</v>
      </c>
    </row>
    <row r="201" spans="1:11" ht="12.75">
      <c r="A201" s="35">
        <v>0.6</v>
      </c>
      <c r="B201" s="59">
        <f>(1000*F57/2)*A201</f>
        <v>450</v>
      </c>
      <c r="C201" s="59">
        <f>1000*'optimális csavar jellemzői'!E8</f>
        <v>795</v>
      </c>
      <c r="D201" s="59">
        <f t="shared" si="6"/>
        <v>15.70458827897269</v>
      </c>
      <c r="E201" s="59">
        <f t="shared" si="9"/>
        <v>485.57640060641586</v>
      </c>
      <c r="F201" s="59">
        <f t="shared" si="7"/>
        <v>-317.3023630447281</v>
      </c>
      <c r="G201" s="59">
        <f t="shared" si="8"/>
        <v>378.2353870381596</v>
      </c>
      <c r="H201" s="59">
        <f>B116*COS(D201*PI()/180)-F186*SIN(D201/(180/PI()))</f>
        <v>-87.49872376097866</v>
      </c>
      <c r="I201" s="59">
        <f>N116*COS(D201*PI()/180)+I186*SIN(D201/(180/PI()))</f>
        <v>109.80343453762127</v>
      </c>
      <c r="K201" s="7">
        <f t="shared" si="10"/>
        <v>485.5764006064158</v>
      </c>
    </row>
    <row r="202" spans="1:11" ht="12.75">
      <c r="A202" s="35">
        <v>0.5</v>
      </c>
      <c r="B202" s="59">
        <f>(1000*F57/2)*A202</f>
        <v>375</v>
      </c>
      <c r="C202" s="59">
        <f>1000*'optimális csavar jellemzői'!E8</f>
        <v>795</v>
      </c>
      <c r="D202" s="59">
        <f t="shared" si="6"/>
        <v>18.644831093863065</v>
      </c>
      <c r="E202" s="59">
        <f t="shared" si="9"/>
        <v>417.69168072769907</v>
      </c>
      <c r="F202" s="59">
        <f t="shared" si="7"/>
        <v>-282.72613964478217</v>
      </c>
      <c r="G202" s="59">
        <f t="shared" si="8"/>
        <v>354.4298936741277</v>
      </c>
      <c r="H202" s="59">
        <f>B117*COS(D202*PI()/180)-F187*SIN(D202/(180/PI()))</f>
        <v>-91.48805162846854</v>
      </c>
      <c r="I202" s="59">
        <f>N117*COS(D202*PI()/180)+I187*SIN(D202/(180/PI()))</f>
        <v>126.45360775639973</v>
      </c>
      <c r="K202" s="7">
        <f t="shared" si="10"/>
        <v>417.691680727699</v>
      </c>
    </row>
    <row r="203" spans="1:11" ht="12.75">
      <c r="A203" s="35">
        <v>0.4</v>
      </c>
      <c r="B203" s="59">
        <f>(1000*F57/2)*A203</f>
        <v>300</v>
      </c>
      <c r="C203" s="59">
        <f>1000*'optimális csavar jellemzői'!E8</f>
        <v>795</v>
      </c>
      <c r="D203" s="59">
        <f t="shared" si="6"/>
        <v>22.868100613820967</v>
      </c>
      <c r="E203" s="59">
        <f t="shared" si="9"/>
        <v>353.36460090962373</v>
      </c>
      <c r="F203" s="59">
        <f t="shared" si="7"/>
        <v>-244.57497024796848</v>
      </c>
      <c r="G203" s="59">
        <f t="shared" si="8"/>
        <v>311.3831744420311</v>
      </c>
      <c r="H203" s="59">
        <f>B118*COS(D203*PI()/180)-F188*SIN(D203/(180/PI()))</f>
        <v>-94.92857397705936</v>
      </c>
      <c r="I203" s="59">
        <f>N118*COS(D203*PI()/180)+I188*SIN(D203/(180/PI()))</f>
        <v>142.54722245256963</v>
      </c>
      <c r="K203" s="7">
        <f t="shared" si="10"/>
        <v>353.36460090962373</v>
      </c>
    </row>
    <row r="204" spans="1:11" ht="12.75">
      <c r="A204" s="35">
        <v>0.3</v>
      </c>
      <c r="B204" s="59">
        <f>(1000*F57/2)*A204</f>
        <v>225</v>
      </c>
      <c r="C204" s="59">
        <f>1000*'optimális csavar jellemzői'!E8</f>
        <v>795</v>
      </c>
      <c r="D204" s="59">
        <f t="shared" si="6"/>
        <v>29.35111414293215</v>
      </c>
      <c r="E204" s="59">
        <f t="shared" si="9"/>
        <v>296.15280121283166</v>
      </c>
      <c r="F204" s="59">
        <f t="shared" si="7"/>
        <v>-202.94679353978864</v>
      </c>
      <c r="G204" s="59">
        <f t="shared" si="8"/>
        <v>255.16183596758282</v>
      </c>
      <c r="H204" s="59">
        <f>B119*COS(D204*PI()/180)-F189*SIN(D204/(180/PI()))</f>
        <v>-101.4214840654298</v>
      </c>
      <c r="I204" s="59">
        <f>N119*COS(D204*PI()/180)+I189*SIN(D204/(180/PI()))</f>
        <v>159.02645827609172</v>
      </c>
      <c r="K204" s="7">
        <f t="shared" si="10"/>
        <v>296.15280121283166</v>
      </c>
    </row>
    <row r="205" spans="1:11" ht="12.75">
      <c r="A205" s="35">
        <v>0.2</v>
      </c>
      <c r="B205" s="59">
        <f>(1000*F57/2)*A205</f>
        <v>150</v>
      </c>
      <c r="C205" s="59">
        <f>1000*'optimális csavar jellemzői'!E8</f>
        <v>795</v>
      </c>
      <c r="D205" s="59">
        <f t="shared" si="6"/>
        <v>40.14834103651344</v>
      </c>
      <c r="E205" s="59">
        <f t="shared" si="9"/>
        <v>256.7292018192475</v>
      </c>
      <c r="F205" s="59">
        <f t="shared" si="7"/>
        <v>-155.66282341959382</v>
      </c>
      <c r="G205" s="59">
        <f t="shared" si="8"/>
        <v>195.26049282662598</v>
      </c>
      <c r="H205" s="59">
        <f>B120*COS(D205*PI()/180)-F190*SIN(D205/(180/PI()))</f>
        <v>-116.39952669231498</v>
      </c>
      <c r="I205" s="59">
        <f>N120*COS(D205*PI()/180)+I190*SIN(D205/(180/PI()))</f>
        <v>182.96543661880312</v>
      </c>
      <c r="K205" s="7">
        <f t="shared" si="10"/>
        <v>256.7292018192476</v>
      </c>
    </row>
    <row r="207" ht="12.75">
      <c r="A207" t="s">
        <v>240</v>
      </c>
    </row>
    <row r="208" ht="12.75">
      <c r="B208" t="s">
        <v>241</v>
      </c>
    </row>
    <row r="209" ht="12.75">
      <c r="B209" t="s">
        <v>242</v>
      </c>
    </row>
    <row r="227" ht="12.75">
      <c r="A227" t="s">
        <v>358</v>
      </c>
    </row>
    <row r="228" spans="1:5" ht="15.75">
      <c r="A228" s="10" t="s">
        <v>359</v>
      </c>
      <c r="D228" s="3" t="s">
        <v>167</v>
      </c>
      <c r="E228" s="3" t="s">
        <v>293</v>
      </c>
    </row>
    <row r="229" spans="1:5" ht="12.75">
      <c r="A229" t="s">
        <v>351</v>
      </c>
      <c r="D229" s="22">
        <v>1</v>
      </c>
      <c r="E229" s="7">
        <f>0.717*0</f>
        <v>0</v>
      </c>
    </row>
    <row r="230" spans="1:5" ht="14.25">
      <c r="A230" s="3" t="s">
        <v>135</v>
      </c>
      <c r="B230" s="93">
        <v>7800</v>
      </c>
      <c r="C230" t="s">
        <v>34</v>
      </c>
      <c r="D230" s="22">
        <v>0.9</v>
      </c>
      <c r="E230" s="7">
        <f>0.01*0.717*G100*(B99+N99)</f>
        <v>55.68866269312499</v>
      </c>
    </row>
    <row r="231" spans="1:5" ht="12.75">
      <c r="A231" t="s">
        <v>352</v>
      </c>
      <c r="D231" s="22">
        <v>0.8</v>
      </c>
      <c r="E231" s="7">
        <f>0.01*0.717*G102*(B101+N101)</f>
        <v>109.18711534499998</v>
      </c>
    </row>
    <row r="232" spans="1:5" ht="15.75">
      <c r="A232" s="3" t="s">
        <v>353</v>
      </c>
      <c r="B232" s="93">
        <v>0.35</v>
      </c>
      <c r="C232" t="s">
        <v>0</v>
      </c>
      <c r="D232" s="22">
        <v>0.7</v>
      </c>
      <c r="E232" s="7">
        <f>0.01*0.717*G104*(B103+N103)</f>
        <v>160.38364254412502</v>
      </c>
    </row>
    <row r="233" spans="1:5" ht="15.75">
      <c r="A233" s="3" t="s">
        <v>354</v>
      </c>
      <c r="B233" s="93">
        <v>0.25</v>
      </c>
      <c r="C233" t="s">
        <v>0</v>
      </c>
      <c r="D233" s="22">
        <v>0.6</v>
      </c>
      <c r="E233" s="7">
        <f>0.01*0.717*G106*(B105+N105)</f>
        <v>205.7915475</v>
      </c>
    </row>
    <row r="234" spans="1:5" ht="15.75">
      <c r="A234" s="3" t="s">
        <v>355</v>
      </c>
      <c r="B234" s="93">
        <v>0.18</v>
      </c>
      <c r="C234" t="s">
        <v>0</v>
      </c>
      <c r="D234" s="22">
        <v>0.5</v>
      </c>
      <c r="E234" s="7">
        <f>0.01*0.717*G108*(B107+N107)</f>
        <v>242.51798903062502</v>
      </c>
    </row>
    <row r="235" spans="1:5" ht="15.75">
      <c r="A235" s="3" t="s">
        <v>354</v>
      </c>
      <c r="B235" s="93">
        <v>0.12</v>
      </c>
      <c r="C235" t="s">
        <v>0</v>
      </c>
      <c r="D235" s="22">
        <v>0.4</v>
      </c>
      <c r="E235" s="7">
        <f>0.01*0.717*G110*(B109+N109)</f>
        <v>269.0871477525</v>
      </c>
    </row>
    <row r="236" spans="1:5" ht="12.75">
      <c r="A236" s="3" t="s">
        <v>356</v>
      </c>
      <c r="B236" s="93">
        <v>0.3</v>
      </c>
      <c r="C236" t="s">
        <v>0</v>
      </c>
      <c r="D236" s="22">
        <v>0.3</v>
      </c>
      <c r="E236" s="7">
        <f>0.01*0.717*G112*(B111+N111)</f>
        <v>283.688058047625</v>
      </c>
    </row>
    <row r="237" spans="1:5" ht="12.75">
      <c r="A237" s="17" t="s">
        <v>357</v>
      </c>
      <c r="B237" s="3"/>
      <c r="C237" s="93">
        <v>4</v>
      </c>
      <c r="D237" s="22">
        <v>0.2</v>
      </c>
      <c r="E237" s="7">
        <f>0.01*0.717*G114*(B113+N113)</f>
        <v>285.60632925825</v>
      </c>
    </row>
    <row r="238" spans="2:6" ht="15.75">
      <c r="B238" t="s">
        <v>292</v>
      </c>
      <c r="D238" s="3" t="s">
        <v>294</v>
      </c>
      <c r="E238" s="14">
        <f>9.806*B230*0.05*F57*POWER(10,-4)*(0.5*E229+SUM(E230,E236)+0.5*E237)</f>
        <v>276.6029734223141</v>
      </c>
      <c r="F238" t="s">
        <v>27</v>
      </c>
    </row>
    <row r="239" spans="2:6" ht="15.75">
      <c r="B239" t="s">
        <v>295</v>
      </c>
      <c r="D239" s="3" t="s">
        <v>296</v>
      </c>
      <c r="E239" s="14">
        <f>9.806*B230*((POWER(0.5*(B232+B233),2)*PI()/4)-(POWER(0.5*(B234+B235),2)*PI()/4))*B236</f>
        <v>1216.469992943996</v>
      </c>
      <c r="F239" t="s">
        <v>27</v>
      </c>
    </row>
    <row r="240" spans="2:6" ht="15.75">
      <c r="B240" t="s">
        <v>297</v>
      </c>
      <c r="D240" s="3" t="s">
        <v>298</v>
      </c>
      <c r="E240" s="14">
        <f>C237*E238+E239</f>
        <v>2322.881886633252</v>
      </c>
      <c r="F240" t="s">
        <v>27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G112 G114 K114 G108 G106 G104 G102 G100 G9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jozsibacsi</dc:creator>
  <cp:keywords/>
  <dc:description/>
  <cp:lastModifiedBy>jozsibacsi</cp:lastModifiedBy>
  <cp:lastPrinted>2013-11-26T13:17:11Z</cp:lastPrinted>
  <dcterms:created xsi:type="dcterms:W3CDTF">2012-02-09T12:04:35Z</dcterms:created>
  <dcterms:modified xsi:type="dcterms:W3CDTF">2013-11-26T13:28:01Z</dcterms:modified>
  <cp:category/>
  <cp:version/>
  <cp:contentType/>
  <cp:contentStatus/>
</cp:coreProperties>
</file>