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290" activeTab="0"/>
  </bookViews>
  <sheets>
    <sheet name="Előlap" sheetId="1" r:id="rId1"/>
    <sheet name="Adatok" sheetId="2" r:id="rId2"/>
    <sheet name="kivál. Ps-Np-KQ-Dopt" sheetId="3" r:id="rId3"/>
    <sheet name="kivál. RT-T-KT-Nopt" sheetId="4" r:id="rId4"/>
    <sheet name="kivál. RT-T-KT-Dopt" sheetId="5" r:id="rId5"/>
    <sheet name="opt. csavar jellemzői" sheetId="6" r:id="rId6"/>
    <sheet name="örvény" sheetId="7" r:id="rId7"/>
    <sheet name="csavarrajz" sheetId="8" r:id="rId8"/>
  </sheets>
  <definedNames/>
  <calcPr fullCalcOnLoad="1"/>
</workbook>
</file>

<file path=xl/sharedStrings.xml><?xml version="1.0" encoding="utf-8"?>
<sst xmlns="http://schemas.openxmlformats.org/spreadsheetml/2006/main" count="809" uniqueCount="539">
  <si>
    <t>m</t>
  </si>
  <si>
    <t>Hajó fő méretei</t>
  </si>
  <si>
    <t>1/min</t>
  </si>
  <si>
    <r>
      <t>Választható főgép fordulatszámok:  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</si>
  <si>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V =</t>
  </si>
  <si>
    <t>csomó</t>
  </si>
  <si>
    <t>Sodortényező (Harvald diagram):</t>
  </si>
  <si>
    <t>B/L =</t>
  </si>
  <si>
    <t>Hajóhossz, L</t>
  </si>
  <si>
    <t>Főbordaszélesség, B</t>
  </si>
  <si>
    <t>Merülés, T</t>
  </si>
  <si>
    <r>
      <t>Hasábos teltség, C</t>
    </r>
    <r>
      <rPr>
        <vertAlign val="subscript"/>
        <sz val="10"/>
        <rFont val="Arial"/>
        <family val="2"/>
      </rPr>
      <t>B</t>
    </r>
  </si>
  <si>
    <t>E/T =</t>
  </si>
  <si>
    <t>D/L =</t>
  </si>
  <si>
    <r>
      <t>w</t>
    </r>
    <r>
      <rPr>
        <sz val="10"/>
        <rFont val="Arial"/>
        <family val="0"/>
      </rPr>
      <t xml:space="preserve"> =</t>
    </r>
  </si>
  <si>
    <t>Sodortényező (Taylor):</t>
  </si>
  <si>
    <t>Választott sodortényező érték:</t>
  </si>
  <si>
    <t>Szívási tényező (Harvald diagr.):</t>
  </si>
  <si>
    <t>t =</t>
  </si>
  <si>
    <t>Szívási tényező (szokásos):</t>
  </si>
  <si>
    <t>Hajó ellenállása V sebességnél: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</si>
  <si>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</si>
  <si>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N</t>
  </si>
  <si>
    <t>T =</t>
  </si>
  <si>
    <t>Léptékhatás tényező:</t>
  </si>
  <si>
    <t>c =</t>
  </si>
  <si>
    <t>Tolóerő tényező:</t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</si>
  <si>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</si>
  <si>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kg/m</t>
    </r>
    <r>
      <rPr>
        <vertAlign val="super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</si>
  <si>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/(1-t)</t>
    </r>
  </si>
  <si>
    <r>
      <t>T/(ρn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</si>
  <si>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Sebesség a csavar helyén:</t>
  </si>
  <si>
    <t>V(1-w)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</si>
  <si>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</si>
  <si>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m/sec</t>
  </si>
  <si>
    <t>Sebesség tényező: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</si>
  <si>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/(nD)</t>
    </r>
  </si>
  <si>
    <t>J =</t>
  </si>
  <si>
    <r>
      <t>K</t>
    </r>
    <r>
      <rPr>
        <vertAlign val="subscript"/>
        <sz val="10"/>
        <rFont val="Arial"/>
        <family val="2"/>
      </rPr>
      <t>T</t>
    </r>
  </si>
  <si>
    <t>J</t>
  </si>
  <si>
    <t>P/D</t>
  </si>
  <si>
    <r>
      <t>10K</t>
    </r>
    <r>
      <rPr>
        <vertAlign val="subscript"/>
        <sz val="10"/>
        <rFont val="Arial"/>
        <family val="2"/>
      </rPr>
      <t>Q</t>
    </r>
  </si>
  <si>
    <r>
      <t>η</t>
    </r>
    <r>
      <rPr>
        <vertAlign val="subscript"/>
        <sz val="10"/>
        <rFont val="Arial"/>
        <family val="2"/>
      </rPr>
      <t>0</t>
    </r>
  </si>
  <si>
    <t>D</t>
  </si>
  <si>
    <t>A wageningeni ajánlás szerint:</t>
  </si>
  <si>
    <r>
      <t>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</si>
  <si>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0,95D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</si>
  <si>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</si>
  <si>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</si>
  <si>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Kifejtett-felület viszony:</t>
  </si>
  <si>
    <r>
      <t>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</si>
  <si>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Átmérő:</t>
  </si>
  <si>
    <t xml:space="preserve">D = </t>
  </si>
  <si>
    <t>Emelkedés:</t>
  </si>
  <si>
    <t>P =</t>
  </si>
  <si>
    <t>(P/D)D</t>
  </si>
  <si>
    <t>Emelkedésviszony:</t>
  </si>
  <si>
    <t>P/D =</t>
  </si>
  <si>
    <t>Fordulatszám:</t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</si>
  <si>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</si>
  <si>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Tolóerő:</t>
  </si>
  <si>
    <t>Q =</t>
  </si>
  <si>
    <t>Nm</t>
  </si>
  <si>
    <t>Nyíltvízi nyomaték:</t>
  </si>
  <si>
    <t>Q' =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</si>
  <si>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>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</si>
  <si>
    <t>Forgási hatásfok:</t>
  </si>
  <si>
    <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</si>
  <si>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Hajótest mögötti nyomaték:</t>
  </si>
  <si>
    <r>
      <t>Q'/η</t>
    </r>
    <r>
      <rPr>
        <vertAlign val="subscript"/>
        <sz val="10"/>
        <rFont val="Arial"/>
        <family val="2"/>
      </rPr>
      <t>R</t>
    </r>
  </si>
  <si>
    <t>Csavar által felvett teljesítmény:</t>
  </si>
  <si>
    <r>
      <t>Q(2</t>
    </r>
    <r>
      <rPr>
        <sz val="10"/>
        <rFont val="Arial"/>
        <family val="2"/>
      </rPr>
      <t>π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/60)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</si>
  <si>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</si>
  <si>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W, Nm/sec</t>
  </si>
  <si>
    <t>Tengely mechanikai hatásfoka:</t>
  </si>
  <si>
    <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</si>
  <si>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</si>
  <si>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/η</t>
    </r>
    <r>
      <rPr>
        <vertAlign val="subscript"/>
        <sz val="10"/>
        <rFont val="Arial"/>
        <family val="2"/>
      </rPr>
      <t>m</t>
    </r>
  </si>
  <si>
    <r>
      <t>diagramból (K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J)</t>
    </r>
  </si>
  <si>
    <r>
      <t>T/(</t>
    </r>
    <r>
      <rPr>
        <sz val="10"/>
        <rFont val="Arial"/>
        <family val="0"/>
      </rPr>
      <t>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</si>
  <si>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diagramból (P/D, J)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</si>
  <si>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</si>
  <si>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t>Ellenállás-számítás eredménye</t>
  </si>
  <si>
    <t>Hajósebesség, V      csomó</t>
  </si>
  <si>
    <t>W</t>
  </si>
  <si>
    <t>Csavarra jutó teljesítmény:</t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</si>
  <si>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m</t>
    </r>
  </si>
  <si>
    <t>Csavarra jutó nyomaték: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</si>
  <si>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/(2</t>
    </r>
    <r>
      <rPr>
        <sz val="10"/>
        <rFont val="Arial"/>
        <family val="2"/>
      </rPr>
      <t>π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/60)</t>
    </r>
  </si>
  <si>
    <t>Nyíltvízi nyomaték</t>
  </si>
  <si>
    <t xml:space="preserve">Q' = </t>
  </si>
  <si>
    <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Q</t>
    </r>
  </si>
  <si>
    <r>
      <t>n =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/(60(1+c))</t>
    </r>
  </si>
  <si>
    <r>
      <t>Q'/(ρn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</si>
  <si>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Max.csavarátmérő, D</t>
  </si>
  <si>
    <t>Csavar mag.alaptól, E</t>
  </si>
  <si>
    <t>ρ =</t>
  </si>
  <si>
    <t>Optimális átmérő:</t>
  </si>
  <si>
    <r>
      <t>D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</si>
  <si>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t>D =</t>
  </si>
  <si>
    <t>Hajósebesség, csomó</t>
  </si>
  <si>
    <t>Sebességtényező, J</t>
  </si>
  <si>
    <r>
      <t>Nyomaték tényező, K</t>
    </r>
    <r>
      <rPr>
        <vertAlign val="subscript"/>
        <sz val="9"/>
        <rFont val="Arial"/>
        <family val="2"/>
      </rPr>
      <t>Q</t>
    </r>
  </si>
  <si>
    <t>Jelleggörbe</t>
  </si>
  <si>
    <t>Tolóerő, T, N</t>
  </si>
  <si>
    <r>
      <t>R</t>
    </r>
    <r>
      <rPr>
        <vertAlign val="subscript"/>
        <sz val="10"/>
        <rFont val="Arial"/>
        <family val="2"/>
      </rPr>
      <t>T</t>
    </r>
  </si>
  <si>
    <t>Effektív teljesítmény, W</t>
  </si>
  <si>
    <r>
      <t>η</t>
    </r>
    <r>
      <rPr>
        <vertAlign val="subscript"/>
        <sz val="10"/>
        <rFont val="Arial"/>
        <family val="2"/>
      </rPr>
      <t>0 =</t>
    </r>
  </si>
  <si>
    <t>Testhatásfok:</t>
  </si>
  <si>
    <r>
      <t>η</t>
    </r>
    <r>
      <rPr>
        <vertAlign val="subscript"/>
        <sz val="10"/>
        <rFont val="Arial"/>
        <family val="2"/>
      </rPr>
      <t>H =</t>
    </r>
  </si>
  <si>
    <t>(1-t)/(1-w)</t>
  </si>
  <si>
    <t>Propulziós tényező:</t>
  </si>
  <si>
    <r>
      <t>η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</si>
  <si>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H</t>
    </r>
  </si>
  <si>
    <t>Csavar becsült nyíltvízi hatásfoka:</t>
  </si>
  <si>
    <r>
      <t>η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B</t>
    </r>
  </si>
  <si>
    <r>
      <t>P</t>
    </r>
    <r>
      <rPr>
        <vertAlign val="subscript"/>
        <sz val="10"/>
        <rFont val="Arial"/>
        <family val="2"/>
      </rPr>
      <t>BE</t>
    </r>
  </si>
  <si>
    <r>
      <t>P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0"/>
      </rPr>
      <t>/V</t>
    </r>
  </si>
  <si>
    <t>Sebességtényező:</t>
  </si>
  <si>
    <t>V(1-w)/(nD</t>
  </si>
  <si>
    <t>Tolóerő a digramból V-nél:</t>
  </si>
  <si>
    <t>Üzemi sebesség a digramból:</t>
  </si>
  <si>
    <r>
      <t>T</t>
    </r>
    <r>
      <rPr>
        <vertAlign val="subscript"/>
        <sz val="10"/>
        <rFont val="Arial"/>
        <family val="2"/>
      </rPr>
      <t>ü</t>
    </r>
    <r>
      <rPr>
        <sz val="10"/>
        <rFont val="Arial"/>
        <family val="0"/>
      </rPr>
      <t xml:space="preserve"> =</t>
    </r>
  </si>
  <si>
    <t>r/R</t>
  </si>
  <si>
    <t>alkotótól</t>
  </si>
  <si>
    <t>belépőélig</t>
  </si>
  <si>
    <t>teljes</t>
  </si>
  <si>
    <t>hossz</t>
  </si>
  <si>
    <t>max.vast.</t>
  </si>
  <si>
    <t>helye a</t>
  </si>
  <si>
    <t>belépőéltől</t>
  </si>
  <si>
    <t>Optimális hajócsavar szárny-koordinátái</t>
  </si>
  <si>
    <t>Szárnyszelvény-hosszak mm-ben</t>
  </si>
  <si>
    <t>A szárny alakja a tolóoldal felől</t>
  </si>
  <si>
    <t>A szárny metszete a maximális vastagságok vonalán</t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</si>
  <si>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, mm</t>
    </r>
  </si>
  <si>
    <t>A hajócsavar agy és szárny rajza tengelymetszetben</t>
  </si>
  <si>
    <t>helye az</t>
  </si>
  <si>
    <r>
      <t>c</t>
    </r>
    <r>
      <rPr>
        <vertAlign val="subscript"/>
        <sz val="10"/>
        <rFont val="Arial"/>
        <family val="2"/>
      </rPr>
      <t>maxtl</t>
    </r>
  </si>
  <si>
    <r>
      <t>c</t>
    </r>
    <r>
      <rPr>
        <vertAlign val="subscript"/>
        <sz val="10"/>
        <rFont val="Arial"/>
        <family val="2"/>
      </rPr>
      <t>maxtg</t>
    </r>
  </si>
  <si>
    <t>Nyújtott szárnyszelvények</t>
  </si>
  <si>
    <t>0,95R</t>
  </si>
  <si>
    <t>0,9R</t>
  </si>
  <si>
    <t>0,8R</t>
  </si>
  <si>
    <t>0,7R</t>
  </si>
  <si>
    <t>0,6R</t>
  </si>
  <si>
    <t>0,5R</t>
  </si>
  <si>
    <t>0,4R</t>
  </si>
  <si>
    <t>0,3R</t>
  </si>
  <si>
    <t>0,2R</t>
  </si>
  <si>
    <t>Kifejtett felület</t>
  </si>
  <si>
    <t>Sugár</t>
  </si>
  <si>
    <t>Kilépő húr</t>
  </si>
  <si>
    <t>Kilépő szög</t>
  </si>
  <si>
    <t>Belépő húr</t>
  </si>
  <si>
    <t>Belépő szög</t>
  </si>
  <si>
    <t>Vetített felület</t>
  </si>
  <si>
    <t>Emelkedés</t>
  </si>
  <si>
    <t>mm</t>
  </si>
  <si>
    <t>(r/R)R</t>
  </si>
  <si>
    <r>
      <t>P</t>
    </r>
    <r>
      <rPr>
        <vertAlign val="subscript"/>
        <sz val="10"/>
        <rFont val="Arial"/>
        <family val="2"/>
      </rPr>
      <t>r</t>
    </r>
  </si>
  <si>
    <t>°</t>
  </si>
  <si>
    <t>Kilépőélig</t>
  </si>
  <si>
    <t>Belépőélig</t>
  </si>
  <si>
    <t>Teljes húr</t>
  </si>
  <si>
    <r>
      <t>Kilépőélig, δ</t>
    </r>
    <r>
      <rPr>
        <vertAlign val="subscript"/>
        <sz val="8"/>
        <rFont val="Arial"/>
        <family val="0"/>
      </rPr>
      <t>rt</t>
    </r>
  </si>
  <si>
    <r>
      <t>Belépőélig, δr</t>
    </r>
    <r>
      <rPr>
        <vertAlign val="subscript"/>
        <sz val="7"/>
        <rFont val="Arial"/>
        <family val="0"/>
      </rPr>
      <t>l</t>
    </r>
  </si>
  <si>
    <t>Tolóoldal felől</t>
  </si>
  <si>
    <t>Tengelyre merőlegesen</t>
  </si>
  <si>
    <r>
      <t>arctg(P</t>
    </r>
    <r>
      <rPr>
        <vertAlign val="subscript"/>
        <sz val="5"/>
        <rFont val="Arial"/>
        <family val="0"/>
      </rPr>
      <t>r</t>
    </r>
    <r>
      <rPr>
        <sz val="5"/>
        <rFont val="Arial"/>
        <family val="0"/>
      </rPr>
      <t>/(2rπ))(180/π)</t>
    </r>
  </si>
  <si>
    <t>φ, °</t>
  </si>
  <si>
    <r>
      <t>Ív sugara, R</t>
    </r>
    <r>
      <rPr>
        <vertAlign val="subscript"/>
        <sz val="8"/>
        <rFont val="Arial"/>
        <family val="0"/>
      </rPr>
      <t>e</t>
    </r>
  </si>
  <si>
    <r>
      <t>P</t>
    </r>
    <r>
      <rPr>
        <vertAlign val="subscript"/>
        <sz val="7"/>
        <rFont val="Arial"/>
        <family val="0"/>
      </rPr>
      <t>r</t>
    </r>
    <r>
      <rPr>
        <sz val="7"/>
        <rFont val="Arial"/>
        <family val="0"/>
      </rPr>
      <t>/(2πsinφcosφ)</t>
    </r>
  </si>
  <si>
    <t>ahol</t>
  </si>
  <si>
    <t>=</t>
  </si>
  <si>
    <r>
      <t>dN/cm</t>
    </r>
    <r>
      <rPr>
        <vertAlign val="superscript"/>
        <sz val="10"/>
        <rFont val="Arial"/>
        <family val="2"/>
      </rPr>
      <t>2</t>
    </r>
  </si>
  <si>
    <r>
      <t>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 xml:space="preserve"> =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/α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)+0,58)</t>
    </r>
  </si>
  <si>
    <r>
      <t>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 xml:space="preserve"> =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/α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)-0,58)</t>
    </r>
  </si>
  <si>
    <t>n = N/100</t>
  </si>
  <si>
    <t>D = a hajócsavar átmérője [m]</t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</si>
  <si>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 4.3.2.4.2.1.1 táblázatból kapott tényező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</si>
  <si>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 4.3.2.4.2.1.2 táblázatból kapott tényező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</si>
  <si>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</si>
  <si>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</si>
  <si>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</si>
  <si>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</si>
  <si>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</si>
  <si>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((r/cosφ)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+((P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/2π)/cosφ)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</si>
  <si>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t>x</t>
  </si>
  <si>
    <r>
      <t>tg(β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-β)</t>
    </r>
  </si>
  <si>
    <t xml:space="preserve">tgβ </t>
  </si>
  <si>
    <t>tgβi</t>
  </si>
  <si>
    <t>A számításhoz szükséges alapvető mennyiségek</t>
  </si>
  <si>
    <t>Sebességi tényező:</t>
  </si>
  <si>
    <r>
      <t>λ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</si>
  <si>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/(Rω)</t>
    </r>
  </si>
  <si>
    <r>
      <t>ε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</si>
  <si>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(0,4/z)(A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)-0,02</t>
    </r>
  </si>
  <si>
    <t>Valóságos tolóerőtényező: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</si>
  <si>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</si>
  <si>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T/(½ρV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π/4))</t>
    </r>
  </si>
  <si>
    <r>
      <t>C</t>
    </r>
    <r>
      <rPr>
        <vertAlign val="subscript"/>
        <sz val="10"/>
        <rFont val="Arial"/>
        <family val="2"/>
      </rPr>
      <t>Ti</t>
    </r>
    <r>
      <rPr>
        <sz val="10"/>
        <rFont val="Arial"/>
        <family val="0"/>
      </rPr>
      <t xml:space="preserve"> =</t>
    </r>
  </si>
  <si>
    <t>Becsült ideális siklószám: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</si>
  <si>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/(1-(2ε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λ))</t>
    </r>
  </si>
  <si>
    <t>Kramer-diagramból, 4.3.2.4.2.1.2. ábra</t>
  </si>
  <si>
    <t>Ideális propulziós tényező:</t>
  </si>
  <si>
    <r>
      <t>ξ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</si>
  <si>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r>
      <t>η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</si>
  <si>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t>β, °</t>
  </si>
  <si>
    <r>
      <t>β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 °</t>
    </r>
  </si>
  <si>
    <t>sinβ</t>
  </si>
  <si>
    <t>κ</t>
  </si>
  <si>
    <t>(4πD/z)xκ</t>
  </si>
  <si>
    <r>
      <t>cos(β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-β)</t>
    </r>
  </si>
  <si>
    <r>
      <t>sinβ</t>
    </r>
    <r>
      <rPr>
        <vertAlign val="subscript"/>
        <sz val="10"/>
        <rFont val="Arial"/>
        <family val="2"/>
      </rPr>
      <t>i</t>
    </r>
  </si>
  <si>
    <r>
      <t>cosβ</t>
    </r>
    <r>
      <rPr>
        <vertAlign val="subscript"/>
        <sz val="10"/>
        <rFont val="Arial"/>
        <family val="2"/>
      </rPr>
      <t>i</t>
    </r>
  </si>
  <si>
    <t>sin[4]</t>
  </si>
  <si>
    <t>sin[5]</t>
  </si>
  <si>
    <t>cos[5]</t>
  </si>
  <si>
    <t>4.3.2.4.2.1.5. ábra</t>
  </si>
  <si>
    <t>(4πD/z)[1][12]</t>
  </si>
  <si>
    <t>[7][10][13]</t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</si>
  <si>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c, m</t>
    </r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</si>
  <si>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m/sec</t>
    </r>
  </si>
  <si>
    <t>A szárnyszelvények hidrodinamikai méretezése</t>
  </si>
  <si>
    <t>A szárnymetszetek szilárdsági és kavitációs számítása</t>
  </si>
  <si>
    <t>q = 0,2</t>
  </si>
  <si>
    <t xml:space="preserve">x-q  </t>
  </si>
  <si>
    <r>
      <t>cos(β</t>
    </r>
    <r>
      <rPr>
        <vertAlign val="subscript"/>
        <sz val="10"/>
        <rFont val="Arial"/>
        <family val="2"/>
      </rPr>
      <t>iq</t>
    </r>
    <r>
      <rPr>
        <sz val="10"/>
        <rFont val="Arial"/>
        <family val="0"/>
      </rPr>
      <t>-β</t>
    </r>
    <r>
      <rPr>
        <vertAlign val="subscript"/>
        <sz val="10"/>
        <rFont val="Arial"/>
        <family val="2"/>
      </rPr>
      <t>ix</t>
    </r>
    <r>
      <rPr>
        <sz val="10"/>
        <rFont val="Arial"/>
        <family val="0"/>
      </rPr>
      <t xml:space="preserve">) </t>
    </r>
  </si>
  <si>
    <r>
      <t>0,5ρ[15]</t>
    </r>
    <r>
      <rPr>
        <vertAlign val="superscript"/>
        <sz val="10"/>
        <rFont val="Arial"/>
        <family val="2"/>
      </rPr>
      <t>2</t>
    </r>
  </si>
  <si>
    <t>[14][17]</t>
  </si>
  <si>
    <t>18a</t>
  </si>
  <si>
    <t>α</t>
  </si>
  <si>
    <t>Simpson</t>
  </si>
  <si>
    <t>x-0,2</t>
  </si>
  <si>
    <t>cos[21]</t>
  </si>
  <si>
    <t>[19][20][22]</t>
  </si>
  <si>
    <t>[18a][18]</t>
  </si>
  <si>
    <r>
      <t>½ρV</t>
    </r>
    <r>
      <rPr>
        <vertAlign val="subscript"/>
        <sz val="9"/>
        <rFont val="Arial"/>
        <family val="0"/>
      </rPr>
      <t>x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, N/m</t>
    </r>
    <r>
      <rPr>
        <vertAlign val="superscript"/>
        <sz val="9"/>
        <rFont val="Arial"/>
        <family val="0"/>
      </rPr>
      <t>2</t>
    </r>
  </si>
  <si>
    <t xml:space="preserve"> dL, N/m </t>
  </si>
  <si>
    <t>αdL, N/m</t>
  </si>
  <si>
    <t>αdM, Nm/m</t>
  </si>
  <si>
    <t>A teljes hajócsavaron ébredő felhajtóerő:</t>
  </si>
  <si>
    <t>L =</t>
  </si>
  <si>
    <t>2/3(R/10)zΣ[19]</t>
  </si>
  <si>
    <t xml:space="preserve">(T/L = </t>
  </si>
  <si>
    <t>)</t>
  </si>
  <si>
    <r>
      <t>β</t>
    </r>
    <r>
      <rPr>
        <vertAlign val="subscript"/>
        <sz val="10"/>
        <rFont val="Arial"/>
        <family val="2"/>
      </rPr>
      <t>iq</t>
    </r>
    <r>
      <rPr>
        <sz val="10"/>
        <rFont val="Arial"/>
        <family val="0"/>
      </rPr>
      <t>-β</t>
    </r>
    <r>
      <rPr>
        <vertAlign val="subscript"/>
        <sz val="10"/>
        <rFont val="Arial"/>
        <family val="2"/>
      </rPr>
      <t>ix</t>
    </r>
    <r>
      <rPr>
        <sz val="10"/>
        <rFont val="Arial"/>
        <family val="2"/>
      </rPr>
      <t>, °</t>
    </r>
  </si>
  <si>
    <t>Hajlító-nyomaték q = 0,2 szelvényen:</t>
  </si>
  <si>
    <r>
      <t>M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 </t>
    </r>
  </si>
  <si>
    <t>q = 0,4</t>
  </si>
  <si>
    <t>q = 0,6</t>
  </si>
  <si>
    <r>
      <t>(2/3)R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/10</t>
    </r>
    <r>
      <rPr>
        <sz val="9"/>
        <rFont val="Arial"/>
        <family val="0"/>
      </rPr>
      <t>Σ[23]</t>
    </r>
  </si>
  <si>
    <t>x-0,4</t>
  </si>
  <si>
    <t>x-0,6</t>
  </si>
  <si>
    <t>cos[25]</t>
  </si>
  <si>
    <t>[19][24][26]</t>
  </si>
  <si>
    <t>cos[29]</t>
  </si>
  <si>
    <t>[19][28][30]</t>
  </si>
  <si>
    <t>Hajlító-nyomaték q = 0,4 szelvényen:</t>
  </si>
  <si>
    <t>Hajlító-nyomaték q = 0,6 szelvényen:</t>
  </si>
  <si>
    <r>
      <t>(2/3)R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/10Σ[27]</t>
    </r>
  </si>
  <si>
    <r>
      <t>(2/3)R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/10Σ[31]</t>
    </r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</si>
  <si>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 = 11,85M/(σ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-σ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>)</t>
    </r>
  </si>
  <si>
    <r>
      <t>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</si>
  <si>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Megengedhető feszültség, 0,15σ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.</t>
    </r>
  </si>
  <si>
    <t>Szükséges keresztmetszeti tényező a q = 0,2 szelvényen a hátoldali nyomott szélső szálra:</t>
  </si>
  <si>
    <r>
      <t>α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</si>
  <si>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 =</t>
    </r>
  </si>
  <si>
    <r>
      <t>cm</t>
    </r>
    <r>
      <rPr>
        <vertAlign val="superscript"/>
        <sz val="10"/>
        <rFont val="Arial"/>
        <family val="2"/>
      </rPr>
      <t>3</t>
    </r>
  </si>
  <si>
    <t>Szükséges keresztmetszeti tényező a q = 0,2 szelvényen a tolóoldali húzott szélső szálra:</t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</si>
  <si>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 = 11,25M/(σ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-σ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>)</t>
    </r>
  </si>
  <si>
    <r>
      <t>α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</si>
  <si>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t>Szükséges keresztmetszeti tényező a q = 0,4 szelvényen a hátoldali nyomott szélső szálra:</t>
  </si>
  <si>
    <t>Szükséges keresztmetszeti tényező a q = 0,4 szelvényen a tolóoldali húzott szélső szálra:</t>
  </si>
  <si>
    <t>Szükséges keresztmetszeti tényező a q = 0,6 szelvényen a hátoldali nyomott szélső szálra:</t>
  </si>
  <si>
    <t>Szükséges keresztmetszeti tényező a q = 0,6 szelvényen a tolóoldali húzott szélső szálra:</t>
  </si>
  <si>
    <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c, cm</t>
    </r>
    <r>
      <rPr>
        <vertAlign val="superscript"/>
        <sz val="10"/>
        <rFont val="Arial"/>
        <family val="2"/>
      </rPr>
      <t>3</t>
    </r>
  </si>
  <si>
    <r>
      <t>rγ, N/m</t>
    </r>
    <r>
      <rPr>
        <vertAlign val="superscript"/>
        <sz val="10"/>
        <rFont val="Arial"/>
        <family val="2"/>
      </rPr>
      <t>2</t>
    </r>
  </si>
  <si>
    <r>
      <t>(p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)-γr </t>
    </r>
  </si>
  <si>
    <t>0,8[38]/[17]</t>
  </si>
  <si>
    <r>
      <t>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2333 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20°C-nál</t>
    </r>
  </si>
  <si>
    <t>Rρg[1]</t>
  </si>
  <si>
    <r>
      <t>aσ</t>
    </r>
    <r>
      <rPr>
        <vertAlign val="subscript"/>
        <sz val="10"/>
        <rFont val="Arial"/>
        <family val="2"/>
      </rPr>
      <t>0</t>
    </r>
  </si>
  <si>
    <t>{36}</t>
  </si>
  <si>
    <t>{41}</t>
  </si>
  <si>
    <t>t, cm</t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</si>
  <si>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c/t</t>
    </r>
  </si>
  <si>
    <t>t/c</t>
  </si>
  <si>
    <t>4.3.2.4.2.1.10 ábra</t>
  </si>
  <si>
    <t>t/(t/c)=[41]/[43]</t>
  </si>
  <si>
    <t>{44}</t>
  </si>
  <si>
    <t>100[14]/[41]</t>
  </si>
  <si>
    <r>
      <t>t</t>
    </r>
    <r>
      <rPr>
        <vertAlign val="superscript"/>
        <sz val="6"/>
        <rFont val="Arial"/>
        <family val="0"/>
      </rPr>
      <t>2</t>
    </r>
    <r>
      <rPr>
        <sz val="6"/>
        <rFont val="Arial"/>
        <family val="0"/>
      </rPr>
      <t>c/t</t>
    </r>
    <r>
      <rPr>
        <vertAlign val="superscript"/>
        <sz val="6"/>
        <rFont val="Arial"/>
        <family val="0"/>
      </rPr>
      <t>2</t>
    </r>
    <r>
      <rPr>
        <sz val="6"/>
        <rFont val="Arial"/>
        <family val="0"/>
      </rPr>
      <t>=[36]/[41]</t>
    </r>
    <r>
      <rPr>
        <vertAlign val="superscript"/>
        <sz val="6"/>
        <rFont val="Arial"/>
        <family val="0"/>
      </rPr>
      <t>2</t>
    </r>
  </si>
  <si>
    <t xml:space="preserve"> f/c</t>
  </si>
  <si>
    <t xml:space="preserve"> Δp/q </t>
  </si>
  <si>
    <t xml:space="preserve">k </t>
  </si>
  <si>
    <r>
      <t>f</t>
    </r>
    <r>
      <rPr>
        <vertAlign val="subscript"/>
        <sz val="10"/>
        <rFont val="Arial"/>
        <family val="2"/>
      </rPr>
      <t>geom</t>
    </r>
    <r>
      <rPr>
        <sz val="10"/>
        <rFont val="Arial"/>
        <family val="0"/>
      </rPr>
      <t xml:space="preserve">/c </t>
    </r>
  </si>
  <si>
    <r>
      <t>C</t>
    </r>
    <r>
      <rPr>
        <vertAlign val="subscript"/>
        <sz val="10"/>
        <rFont val="Arial"/>
        <family val="2"/>
      </rPr>
      <t>L</t>
    </r>
  </si>
  <si>
    <r>
      <t>(t/c)</t>
    </r>
    <r>
      <rPr>
        <vertAlign val="subscript"/>
        <sz val="10"/>
        <rFont val="Arial"/>
        <family val="2"/>
      </rPr>
      <t>végleges</t>
    </r>
  </si>
  <si>
    <t>{45}</t>
  </si>
  <si>
    <r>
      <t>c</t>
    </r>
    <r>
      <rPr>
        <vertAlign val="subscript"/>
        <sz val="9"/>
        <rFont val="Arial"/>
        <family val="0"/>
      </rPr>
      <t>végleges</t>
    </r>
    <r>
      <rPr>
        <sz val="9"/>
        <rFont val="Arial"/>
        <family val="0"/>
      </rPr>
      <t>,cm</t>
    </r>
  </si>
  <si>
    <t>burkológörbe</t>
  </si>
  <si>
    <t>[41]/[46]</t>
  </si>
  <si>
    <r>
      <t>c</t>
    </r>
    <r>
      <rPr>
        <vertAlign val="subscript"/>
        <sz val="10"/>
        <rFont val="Arial"/>
        <family val="2"/>
      </rPr>
      <t>kav</t>
    </r>
    <r>
      <rPr>
        <sz val="10"/>
        <rFont val="Arial"/>
        <family val="2"/>
      </rPr>
      <t>, cm</t>
    </r>
  </si>
  <si>
    <r>
      <t>c</t>
    </r>
    <r>
      <rPr>
        <vertAlign val="subscript"/>
        <sz val="10"/>
        <rFont val="Arial"/>
        <family val="2"/>
      </rPr>
      <t>szil</t>
    </r>
    <r>
      <rPr>
        <sz val="10"/>
        <rFont val="Arial"/>
        <family val="2"/>
      </rPr>
      <t>, cm</t>
    </r>
  </si>
  <si>
    <t>f/c ellenőrzés, 0,0678CLc/c</t>
  </si>
  <si>
    <t>6,78[14]/[46]</t>
  </si>
  <si>
    <t>4.3.2.4.2.1.12 ábra</t>
  </si>
  <si>
    <t>K[48]/[50]</t>
  </si>
  <si>
    <t xml:space="preserve">Δα, ° </t>
  </si>
  <si>
    <t>14,6[51]</t>
  </si>
  <si>
    <t>ε</t>
  </si>
  <si>
    <r>
      <t>C</t>
    </r>
    <r>
      <rPr>
        <vertAlign val="subscript"/>
        <sz val="6"/>
        <rFont val="Arial"/>
        <family val="0"/>
      </rPr>
      <t>L</t>
    </r>
    <r>
      <rPr>
        <sz val="6"/>
        <rFont val="Arial"/>
        <family val="0"/>
      </rPr>
      <t>C/c = 100[14]/[46]</t>
    </r>
  </si>
  <si>
    <t>0,008/[53]</t>
  </si>
  <si>
    <t>[10][54]</t>
  </si>
  <si>
    <t>[11][54]</t>
  </si>
  <si>
    <r>
      <t>εsinβ</t>
    </r>
    <r>
      <rPr>
        <vertAlign val="subscript"/>
        <sz val="10"/>
        <rFont val="Arial"/>
        <family val="2"/>
      </rPr>
      <t>i</t>
    </r>
  </si>
  <si>
    <r>
      <t>εcosβ</t>
    </r>
    <r>
      <rPr>
        <vertAlign val="subscript"/>
        <sz val="10"/>
        <rFont val="Arial"/>
        <family val="2"/>
      </rPr>
      <t>i</t>
    </r>
  </si>
  <si>
    <r>
      <t>cosβ</t>
    </r>
    <r>
      <rPr>
        <vertAlign val="subscript"/>
        <sz val="8"/>
        <rFont val="Arial"/>
        <family val="0"/>
      </rPr>
      <t>i</t>
    </r>
    <r>
      <rPr>
        <sz val="8"/>
        <rFont val="Arial"/>
        <family val="0"/>
      </rPr>
      <t>-εsinβ</t>
    </r>
    <r>
      <rPr>
        <vertAlign val="subscript"/>
        <sz val="8"/>
        <rFont val="Arial"/>
        <family val="0"/>
      </rPr>
      <t>i</t>
    </r>
  </si>
  <si>
    <t>[11]-[55]</t>
  </si>
  <si>
    <r>
      <t>sinβ</t>
    </r>
    <r>
      <rPr>
        <vertAlign val="subscript"/>
        <sz val="8"/>
        <rFont val="Arial"/>
        <family val="0"/>
      </rPr>
      <t>i</t>
    </r>
    <r>
      <rPr>
        <sz val="8"/>
        <rFont val="Arial"/>
        <family val="0"/>
      </rPr>
      <t>+εcosβ</t>
    </r>
    <r>
      <rPr>
        <vertAlign val="subscript"/>
        <sz val="8"/>
        <rFont val="Arial"/>
        <family val="0"/>
      </rPr>
      <t>i</t>
    </r>
  </si>
  <si>
    <t>[10]+[56]</t>
  </si>
  <si>
    <t>[19][57]</t>
  </si>
  <si>
    <t>[19][58]</t>
  </si>
  <si>
    <t>[1][60]</t>
  </si>
  <si>
    <t>[46][51]</t>
  </si>
  <si>
    <t>[5]+[52]</t>
  </si>
  <si>
    <t>ϕ, °</t>
  </si>
  <si>
    <t xml:space="preserve"> {65}</t>
  </si>
  <si>
    <t>tgϕ</t>
  </si>
  <si>
    <t>tg[63]</t>
  </si>
  <si>
    <r>
      <t>D</t>
    </r>
    <r>
      <rPr>
        <sz val="10"/>
        <rFont val="Arial"/>
        <family val="2"/>
      </rPr>
      <t>π</t>
    </r>
    <r>
      <rPr>
        <sz val="10"/>
        <rFont val="Arial"/>
        <family val="0"/>
      </rPr>
      <t>[1][64]</t>
    </r>
  </si>
  <si>
    <t xml:space="preserve"> P, m</t>
  </si>
  <si>
    <r>
      <t xml:space="preserve"> P</t>
    </r>
    <r>
      <rPr>
        <vertAlign val="subscript"/>
        <sz val="10"/>
        <rFont val="Arial"/>
        <family val="2"/>
      </rPr>
      <t>korr</t>
    </r>
    <r>
      <rPr>
        <sz val="10"/>
        <rFont val="Arial"/>
        <family val="0"/>
      </rPr>
      <t>, m</t>
    </r>
  </si>
  <si>
    <t>kiegyenlítve</t>
  </si>
  <si>
    <t xml:space="preserve"> αc, cm</t>
  </si>
  <si>
    <t>[18a][46]</t>
  </si>
  <si>
    <t>[41][67]</t>
  </si>
  <si>
    <r>
      <t xml:space="preserve"> x</t>
    </r>
    <r>
      <rPr>
        <vertAlign val="superscript"/>
        <sz val="10"/>
        <rFont val="Arial"/>
        <family val="2"/>
      </rPr>
      <t>2</t>
    </r>
  </si>
  <si>
    <r>
      <t>[1]</t>
    </r>
    <r>
      <rPr>
        <vertAlign val="superscript"/>
        <sz val="10"/>
        <rFont val="Arial"/>
        <family val="2"/>
      </rPr>
      <t>2</t>
    </r>
  </si>
  <si>
    <t>[68][69]</t>
  </si>
  <si>
    <t>A hajócsavaron ébredő tolóerő:</t>
  </si>
  <si>
    <t xml:space="preserve">T = </t>
  </si>
  <si>
    <t>αdT, N/m</t>
  </si>
  <si>
    <r>
      <t>αdF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, N/m</t>
    </r>
  </si>
  <si>
    <r>
      <t>αxdF</t>
    </r>
    <r>
      <rPr>
        <vertAlign val="subscript"/>
        <sz val="8"/>
        <rFont val="Arial"/>
        <family val="0"/>
      </rPr>
      <t>T</t>
    </r>
    <r>
      <rPr>
        <sz val="8"/>
        <rFont val="Arial"/>
        <family val="0"/>
      </rPr>
      <t>, Nm/m</t>
    </r>
  </si>
  <si>
    <t>M =</t>
  </si>
  <si>
    <r>
      <t>2/3(R/10)zΣ(</t>
    </r>
    <r>
      <rPr>
        <sz val="10"/>
        <rFont val="Arial"/>
        <family val="2"/>
      </rPr>
      <t>α</t>
    </r>
    <r>
      <rPr>
        <sz val="10"/>
        <rFont val="Arial"/>
        <family val="0"/>
      </rPr>
      <t>dT)</t>
    </r>
  </si>
  <si>
    <r>
      <t>2/3(R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/10)zΣ(</t>
    </r>
    <r>
      <rPr>
        <sz val="10"/>
        <rFont val="Arial"/>
        <family val="2"/>
      </rPr>
      <t>αx</t>
    </r>
    <r>
      <rPr>
        <sz val="10"/>
        <rFont val="Arial"/>
        <family val="0"/>
      </rPr>
      <t>dF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</si>
  <si>
    <t>A hajócsavar nyomatéka:</t>
  </si>
  <si>
    <t>A felvett teljesítmény:</t>
  </si>
  <si>
    <r>
      <t>2</t>
    </r>
    <r>
      <rPr>
        <sz val="10"/>
        <rFont val="Arial"/>
        <family val="2"/>
      </rPr>
      <t>π</t>
    </r>
    <r>
      <rPr>
        <sz val="10"/>
        <rFont val="Arial"/>
        <family val="0"/>
      </rPr>
      <t>MN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/60</t>
    </r>
  </si>
  <si>
    <t>Helyesbített siklószám:</t>
  </si>
  <si>
    <t>első számítási lépés után</t>
  </si>
  <si>
    <t>Ideális tolóerőtényező:</t>
  </si>
  <si>
    <t>Az előzetes propulziós számításból kapott mennyiségek</t>
  </si>
  <si>
    <t>Hajósebesség:</t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</si>
  <si>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</si>
  <si>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Sodortényező:</t>
  </si>
  <si>
    <t>w =</t>
  </si>
  <si>
    <t>1-w =</t>
  </si>
  <si>
    <t>Hajócsavar átmérője.</t>
  </si>
  <si>
    <t>R =</t>
  </si>
  <si>
    <t>Csavar fordulatszám:</t>
  </si>
  <si>
    <t>Felületviszony:</t>
  </si>
  <si>
    <t>Szárnyszám:</t>
  </si>
  <si>
    <t>z =</t>
  </si>
  <si>
    <t>Várható tolóerő:</t>
  </si>
  <si>
    <r>
      <t>N, kgm/sec</t>
    </r>
    <r>
      <rPr>
        <vertAlign val="superscript"/>
        <sz val="10"/>
        <rFont val="Arial"/>
        <family val="2"/>
      </rPr>
      <t>2</t>
    </r>
  </si>
  <si>
    <t>Teljesítmény:</t>
  </si>
  <si>
    <r>
      <t>W, kgm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/sec</t>
    </r>
    <r>
      <rPr>
        <vertAlign val="super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</si>
  <si>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</si>
  <si>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Ideális teljesítménytényező:</t>
  </si>
  <si>
    <r>
      <t>C</t>
    </r>
    <r>
      <rPr>
        <vertAlign val="subscript"/>
        <sz val="10"/>
        <rFont val="Arial"/>
        <family val="2"/>
      </rPr>
      <t>Pi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</si>
  <si>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/(½ρV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(D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π/4))</t>
    </r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</si>
  <si>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/(1+(2/3)(ε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/λ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</t>
    </r>
  </si>
  <si>
    <t>Ideális seb. tényező:</t>
  </si>
  <si>
    <r>
      <t>λ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</si>
  <si>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r>
      <t>Korrekciós tényező f</t>
    </r>
    <r>
      <rPr>
        <vertAlign val="subscript"/>
        <sz val="10"/>
        <rFont val="Arial"/>
        <family val="2"/>
      </rPr>
      <t>geom</t>
    </r>
    <r>
      <rPr>
        <sz val="10"/>
        <rFont val="Arial"/>
        <family val="0"/>
      </rPr>
      <t>/c számításához:</t>
    </r>
  </si>
  <si>
    <t>K =</t>
  </si>
  <si>
    <t>(1,3+0,7μ)/(2μ)</t>
  </si>
  <si>
    <t>μ = 0,8</t>
  </si>
  <si>
    <r>
      <t>P</t>
    </r>
    <r>
      <rPr>
        <vertAlign val="subscript"/>
        <sz val="10"/>
        <rFont val="Arial"/>
        <family val="2"/>
      </rPr>
      <t>0,6</t>
    </r>
    <r>
      <rPr>
        <sz val="10"/>
        <rFont val="Arial"/>
        <family val="0"/>
      </rPr>
      <t>/D =</t>
    </r>
  </si>
  <si>
    <t>Emelkedésviszony 0,6R-nél:</t>
  </si>
  <si>
    <t>Kifejtett felületviszony:</t>
  </si>
  <si>
    <r>
      <t>2/3(R/10)zΣ(</t>
    </r>
    <r>
      <rPr>
        <sz val="10"/>
        <rFont val="Arial"/>
        <family val="2"/>
      </rPr>
      <t>α</t>
    </r>
    <r>
      <rPr>
        <sz val="10"/>
        <rFont val="Arial"/>
        <family val="0"/>
      </rPr>
      <t>c)</t>
    </r>
  </si>
  <si>
    <r>
      <t>(2/3(R/10)zΣ(</t>
    </r>
    <r>
      <rPr>
        <sz val="10"/>
        <rFont val="Arial"/>
        <family val="2"/>
      </rPr>
      <t>α</t>
    </r>
    <r>
      <rPr>
        <sz val="10"/>
        <rFont val="Arial"/>
        <family val="0"/>
      </rPr>
      <t>c))/(D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π</t>
    </r>
    <r>
      <rPr>
        <sz val="10"/>
        <rFont val="Arial"/>
        <family val="0"/>
      </rPr>
      <t>/4)</t>
    </r>
  </si>
  <si>
    <t>Kifejtett felület:</t>
  </si>
  <si>
    <r>
      <t xml:space="preserve"> αtc, cm</t>
    </r>
    <r>
      <rPr>
        <vertAlign val="superscript"/>
        <sz val="10"/>
        <rFont val="Arial"/>
        <family val="2"/>
      </rPr>
      <t>2</t>
    </r>
  </si>
  <si>
    <r>
      <t>kgm</t>
    </r>
    <r>
      <rPr>
        <vertAlign val="superscript"/>
        <sz val="10"/>
        <rFont val="Arial"/>
        <family val="2"/>
      </rPr>
      <t>2</t>
    </r>
  </si>
  <si>
    <r>
      <t>2/3(R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/10)zρΣ(αx2tc)+0,5(ρl(d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-d</t>
    </r>
    <r>
      <rPr>
        <vertAlign val="subscript"/>
        <sz val="10"/>
        <rFont val="Arial"/>
        <family val="2"/>
      </rPr>
      <t>furat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)π/4)((d/2)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+(d</t>
    </r>
    <r>
      <rPr>
        <vertAlign val="subscript"/>
        <sz val="10"/>
        <rFont val="Arial"/>
        <family val="2"/>
      </rPr>
      <t>furat</t>
    </r>
    <r>
      <rPr>
        <sz val="10"/>
        <rFont val="Arial"/>
        <family val="0"/>
      </rPr>
      <t>/2)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</si>
  <si>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 αx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tc, cm</t>
    </r>
    <r>
      <rPr>
        <vertAlign val="superscript"/>
        <sz val="9"/>
        <rFont val="Arial"/>
        <family val="0"/>
      </rPr>
      <t>2</t>
    </r>
  </si>
  <si>
    <t>NACA</t>
  </si>
  <si>
    <t>számozás</t>
  </si>
  <si>
    <t>(közelítő)</t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</si>
  <si>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</si>
  <si>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ki</t>
    </r>
  </si>
  <si>
    <r>
      <t>c</t>
    </r>
    <r>
      <rPr>
        <vertAlign val="subscript"/>
        <sz val="10"/>
        <rFont val="Arial"/>
        <family val="2"/>
      </rPr>
      <t>be</t>
    </r>
  </si>
  <si>
    <t>ya</t>
  </si>
  <si>
    <t>A belépőéltől a kilépőélig a szelvényhossz %-ában</t>
  </si>
  <si>
    <t>x/c</t>
  </si>
  <si>
    <r>
      <t>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/f, %</t>
    </r>
  </si>
  <si>
    <r>
      <t>A NACA X6 profilcsalád szelvényeinek 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és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koordinátái a c szelvényhossz, f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és 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%-ában</t>
    </r>
  </si>
  <si>
    <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/t, %</t>
    </r>
  </si>
  <si>
    <t>Minden</t>
  </si>
  <si>
    <r>
      <t>ha pc≤x≤c, 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/f = ((c-x)/(1-p)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0"/>
      </rPr>
      <t>(1+(x/c)-2p)</t>
    </r>
  </si>
  <si>
    <r>
      <t>ha 0≤x≤pc, 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/f = (x/p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0"/>
      </rPr>
      <t>(2p-x/c)</t>
    </r>
  </si>
  <si>
    <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5(0,2969x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-0,126x-0,3516x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+0,2843x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-0,1015x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)t</t>
    </r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</si>
  <si>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helye: 0,3c a belépőéltől</t>
    </r>
  </si>
  <si>
    <r>
      <t>f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helye: p = 0,6c a belépőéltől</t>
    </r>
  </si>
  <si>
    <t>szelvényre</t>
  </si>
  <si>
    <r>
      <t>f</t>
    </r>
    <r>
      <rPr>
        <vertAlign val="subscript"/>
        <sz val="10"/>
        <rFont val="Arial"/>
        <family val="2"/>
      </rPr>
      <t>geom</t>
    </r>
    <r>
      <rPr>
        <sz val="10"/>
        <rFont val="Arial"/>
        <family val="2"/>
      </rPr>
      <t>, cm</t>
    </r>
  </si>
  <si>
    <r>
      <t>dy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/dx</t>
    </r>
  </si>
  <si>
    <r>
      <t>x</t>
    </r>
    <r>
      <rPr>
        <vertAlign val="subscript"/>
        <sz val="10"/>
        <rFont val="Arial"/>
        <family val="2"/>
      </rPr>
      <t>f</t>
    </r>
  </si>
  <si>
    <r>
      <t>y</t>
    </r>
    <r>
      <rPr>
        <vertAlign val="subscript"/>
        <sz val="10"/>
        <rFont val="Arial"/>
        <family val="2"/>
      </rPr>
      <t>f</t>
    </r>
  </si>
  <si>
    <r>
      <t>x</t>
    </r>
    <r>
      <rPr>
        <vertAlign val="subscript"/>
        <sz val="10"/>
        <rFont val="Arial"/>
        <family val="2"/>
      </rPr>
      <t>a</t>
    </r>
  </si>
  <si>
    <r>
      <t>x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 x -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sin</t>
    </r>
    <r>
      <rPr>
        <sz val="10"/>
        <rFont val="Arial"/>
        <family val="2"/>
      </rPr>
      <t>θ</t>
    </r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</si>
  <si>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x +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sin</t>
    </r>
    <r>
      <rPr>
        <sz val="10"/>
        <rFont val="Arial"/>
        <family val="2"/>
      </rPr>
      <t>θ</t>
    </r>
  </si>
  <si>
    <r>
      <t>y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 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+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cos</t>
    </r>
    <r>
      <rPr>
        <sz val="10"/>
        <rFont val="Arial"/>
        <family val="2"/>
      </rPr>
      <t>θ</t>
    </r>
  </si>
  <si>
    <r>
      <t>y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-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cos</t>
    </r>
    <r>
      <rPr>
        <sz val="10"/>
        <rFont val="Arial"/>
        <family val="2"/>
      </rPr>
      <t>θ</t>
    </r>
  </si>
  <si>
    <t>θ, rad*</t>
  </si>
  <si>
    <r>
      <t xml:space="preserve">* a </t>
    </r>
    <r>
      <rPr>
        <sz val="10"/>
        <rFont val="Arial"/>
        <family val="2"/>
      </rPr>
      <t>θ</t>
    </r>
    <r>
      <rPr>
        <sz val="10"/>
        <rFont val="Arial"/>
        <family val="0"/>
      </rPr>
      <t xml:space="preserve"> két szélső értéke extrapolálással határozható meg</t>
    </r>
  </si>
  <si>
    <r>
      <t>y</t>
    </r>
    <r>
      <rPr>
        <vertAlign val="subscript"/>
        <sz val="10"/>
        <rFont val="Arial"/>
        <family val="2"/>
      </rPr>
      <t>c</t>
    </r>
  </si>
  <si>
    <r>
      <t>y</t>
    </r>
    <r>
      <rPr>
        <vertAlign val="subscript"/>
        <sz val="10"/>
        <rFont val="Arial"/>
        <family val="2"/>
      </rPr>
      <t>t</t>
    </r>
  </si>
  <si>
    <r>
      <t>ψ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</si>
  <si>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sin(ψ</t>
    </r>
    <r>
      <rPr>
        <vertAlign val="subscript"/>
        <sz val="8"/>
        <rFont val="Arial"/>
        <family val="2"/>
      </rPr>
      <t>ki</t>
    </r>
    <r>
      <rPr>
        <sz val="8"/>
        <rFont val="Arial"/>
        <family val="2"/>
      </rPr>
      <t>)</t>
    </r>
  </si>
  <si>
    <r>
      <t>ψ</t>
    </r>
    <r>
      <rPr>
        <vertAlign val="subscript"/>
        <sz val="10"/>
        <rFont val="Arial"/>
        <family val="2"/>
      </rPr>
      <t>be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</si>
  <si>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sin(ψ</t>
    </r>
    <r>
      <rPr>
        <vertAlign val="subscript"/>
        <sz val="8"/>
        <rFont val="Arial"/>
        <family val="2"/>
      </rPr>
      <t>be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</si>
  <si>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(1-cos(ψ</t>
    </r>
    <r>
      <rPr>
        <vertAlign val="subscript"/>
        <sz val="8"/>
        <rFont val="Arial"/>
        <family val="2"/>
      </rPr>
      <t>ki</t>
    </r>
    <r>
      <rPr>
        <sz val="8"/>
        <rFont val="Arial"/>
        <family val="2"/>
      </rPr>
      <t>))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</si>
  <si>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(1-cos(ψ</t>
    </r>
    <r>
      <rPr>
        <vertAlign val="subscript"/>
        <sz val="8"/>
        <rFont val="Arial"/>
        <family val="2"/>
      </rPr>
      <t>be</t>
    </r>
    <r>
      <rPr>
        <sz val="8"/>
        <rFont val="Arial"/>
        <family val="2"/>
      </rPr>
      <t>))</t>
    </r>
  </si>
  <si>
    <r>
      <t>Δr</t>
    </r>
    <r>
      <rPr>
        <vertAlign val="subscript"/>
        <sz val="10"/>
        <rFont val="Arial"/>
        <family val="2"/>
      </rPr>
      <t>ki</t>
    </r>
  </si>
  <si>
    <r>
      <t>Δr</t>
    </r>
    <r>
      <rPr>
        <vertAlign val="subscript"/>
        <sz val="10"/>
        <rFont val="Arial"/>
        <family val="2"/>
      </rPr>
      <t>be</t>
    </r>
  </si>
  <si>
    <r>
      <t>(r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>-(1-Δ</t>
    </r>
    <r>
      <rPr>
        <sz val="7"/>
        <rFont val="Arial"/>
        <family val="2"/>
      </rPr>
      <t>r</t>
    </r>
    <r>
      <rPr>
        <vertAlign val="subscript"/>
        <sz val="7"/>
        <rFont val="Arial"/>
        <family val="0"/>
      </rPr>
      <t>ki</t>
    </r>
    <r>
      <rPr>
        <sz val="7"/>
        <rFont val="Arial"/>
        <family val="0"/>
      </rPr>
      <t>)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>)</t>
    </r>
    <r>
      <rPr>
        <vertAlign val="superscript"/>
        <sz val="7"/>
        <rFont val="Arial"/>
        <family val="0"/>
      </rPr>
      <t>1/2</t>
    </r>
  </si>
  <si>
    <r>
      <t>(r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>-(r-Δ</t>
    </r>
    <r>
      <rPr>
        <sz val="7"/>
        <rFont val="Arial"/>
        <family val="2"/>
      </rPr>
      <t>r</t>
    </r>
    <r>
      <rPr>
        <vertAlign val="subscript"/>
        <sz val="7"/>
        <rFont val="Arial"/>
        <family val="0"/>
      </rPr>
      <t>be</t>
    </r>
    <r>
      <rPr>
        <sz val="7"/>
        <rFont val="Arial"/>
        <family val="0"/>
      </rPr>
      <t>)</t>
    </r>
    <r>
      <rPr>
        <vertAlign val="superscript"/>
        <sz val="7"/>
        <rFont val="Arial"/>
        <family val="0"/>
      </rPr>
      <t>2</t>
    </r>
    <r>
      <rPr>
        <sz val="7"/>
        <rFont val="Arial"/>
        <family val="0"/>
      </rPr>
      <t>)</t>
    </r>
    <r>
      <rPr>
        <vertAlign val="superscript"/>
        <sz val="7"/>
        <rFont val="Arial"/>
        <family val="0"/>
      </rPr>
      <t>1/3</t>
    </r>
  </si>
  <si>
    <r>
      <t>Kilépőélig,δv</t>
    </r>
    <r>
      <rPr>
        <vertAlign val="subscript"/>
        <sz val="7"/>
        <rFont val="Arial"/>
        <family val="0"/>
      </rPr>
      <t>ki</t>
    </r>
  </si>
  <si>
    <r>
      <t>Belépőélig,δv</t>
    </r>
    <r>
      <rPr>
        <vertAlign val="subscript"/>
        <sz val="7"/>
        <rFont val="Arial"/>
        <family val="0"/>
      </rPr>
      <t>be</t>
    </r>
  </si>
  <si>
    <r>
      <t>δv</t>
    </r>
    <r>
      <rPr>
        <vertAlign val="subscript"/>
        <sz val="10"/>
        <rFont val="Arial"/>
        <family val="2"/>
      </rPr>
      <t>ki</t>
    </r>
    <r>
      <rPr>
        <sz val="10"/>
        <rFont val="Arial"/>
        <family val="0"/>
      </rPr>
      <t>tgφ</t>
    </r>
  </si>
  <si>
    <r>
      <t>δv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0"/>
      </rPr>
      <t>tgφ</t>
    </r>
  </si>
  <si>
    <t>vizsgált hajó képe</t>
  </si>
  <si>
    <t>…..</t>
  </si>
  <si>
    <t>Hajózóút víz sűrűsége*:</t>
  </si>
  <si>
    <t>* a megfelelő adatot be kell írni: pl. 1000 édesvíz, 1025 tengervíz esetében</t>
  </si>
  <si>
    <r>
      <t>Teljes ellenállás**, 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  N</t>
    </r>
  </si>
  <si>
    <t>** külön számítás eredménye</t>
  </si>
  <si>
    <t>BBBZ 4.3.2.4.2.3 ábra</t>
  </si>
  <si>
    <t>megj.: pl.becslés</t>
  </si>
  <si>
    <t>BBBZ 4.3.2.4.2 fej.</t>
  </si>
  <si>
    <t>megj.: pl.nem reális</t>
  </si>
  <si>
    <t>magyarázat: pl….csapágy</t>
  </si>
  <si>
    <t>Várható hajósebesség****:</t>
  </si>
  <si>
    <t>**** diagramból kiadódik</t>
  </si>
  <si>
    <t>Np =</t>
  </si>
  <si>
    <t>Főgép fordulatszáma*:</t>
  </si>
  <si>
    <t>* Adatok munkalapon megadott lehetőségek közül választva</t>
  </si>
  <si>
    <r>
      <t>.../D</t>
    </r>
    <r>
      <rPr>
        <vertAlign val="superscript"/>
        <sz val="10"/>
        <rFont val="Arial"/>
        <family val="2"/>
      </rPr>
      <t>5</t>
    </r>
  </si>
  <si>
    <t>Nyomaték tényező**:</t>
  </si>
  <si>
    <t>** D függvénye</t>
  </si>
  <si>
    <t>Sebesség tényező**:</t>
  </si>
  <si>
    <t>.../D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</si>
  <si>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és J szerint emelkedésviszony, tolóerő tényező és hatásfok a B.z.A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diagramból:</t>
    </r>
  </si>
  <si>
    <r>
      <t>Megjegyzés: ha a 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értéke közel esik a 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értékéhez, azzal lehet dolgozni.</t>
    </r>
  </si>
  <si>
    <t>Tolóerő tényező*:</t>
  </si>
  <si>
    <r>
      <t>*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függvénye</t>
    </r>
  </si>
  <si>
    <t>Sebesség tényező*:</t>
  </si>
  <si>
    <r>
      <t>.../Np</t>
    </r>
    <r>
      <rPr>
        <vertAlign val="superscript"/>
        <sz val="10"/>
        <rFont val="Arial"/>
        <family val="2"/>
      </rPr>
      <t>2</t>
    </r>
  </si>
  <si>
    <r>
      <t>.../N</t>
    </r>
    <r>
      <rPr>
        <vertAlign val="subscript"/>
        <sz val="10"/>
        <rFont val="Arial"/>
        <family val="2"/>
      </rPr>
      <t>p</t>
    </r>
  </si>
  <si>
    <t>Megjegyzés: pl.nincs optimum. Létező optimum esetén a diagram használható.</t>
  </si>
  <si>
    <t>Csavar fordulatszáma*:</t>
  </si>
  <si>
    <r>
      <t>.../D</t>
    </r>
    <r>
      <rPr>
        <vertAlign val="superscript"/>
        <sz val="10"/>
        <rFont val="Arial"/>
        <family val="2"/>
      </rPr>
      <t>4</t>
    </r>
  </si>
  <si>
    <t>Tolóerő tényező**:</t>
  </si>
  <si>
    <r>
      <t>Megjegyzés: ha a 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értéke közel van a 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értékéhez, azzal érdemes dolgozni.</t>
    </r>
  </si>
  <si>
    <r>
      <t>Optimális fordulatszám keresése wageningeni B.z.A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típusú csavarhoz D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esetén</t>
    </r>
  </si>
  <si>
    <r>
      <t>Optimálisra kiválasztott wageningeni B.z.A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csavar jellemzői és jelleggörbéje</t>
    </r>
  </si>
  <si>
    <t>* előzetes számításból</t>
  </si>
  <si>
    <t>Testhatásfok*:</t>
  </si>
  <si>
    <t>… motor</t>
  </si>
  <si>
    <r>
      <t>Np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</si>
  <si>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r>
      <t>(hajócsavar 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 = ...)</t>
    </r>
  </si>
  <si>
    <t>(hajócsavar D/t = ...)</t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</si>
  <si>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+ hρg = 100000+tengelymagasság*ρ*9,81 =</t>
    </r>
  </si>
  <si>
    <r>
      <t>N/m</t>
    </r>
    <r>
      <rPr>
        <vertAlign val="superscript"/>
        <sz val="10"/>
        <rFont val="Arial"/>
        <family val="2"/>
      </rPr>
      <t>2</t>
    </r>
  </si>
  <si>
    <t>F133-[37]</t>
  </si>
  <si>
    <r>
      <t>2/3(R/10)zgρΣ(αtc)+gρl(d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-d</t>
    </r>
    <r>
      <rPr>
        <vertAlign val="subscript"/>
        <sz val="9"/>
        <rFont val="Arial"/>
        <family val="0"/>
      </rPr>
      <t>furat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)π/4</t>
    </r>
  </si>
  <si>
    <t>Ez a nagyobb érték, ezzel kell dolgozni**.</t>
  </si>
  <si>
    <t>** értelemszerűen a húzott ill. nyomott szál esetében</t>
  </si>
  <si>
    <t>A hajócsavar súlya***:</t>
  </si>
  <si>
    <t>Poláris tehetelenségi nyomaték***:</t>
  </si>
  <si>
    <t>kilépőélig*</t>
  </si>
  <si>
    <t xml:space="preserve">* a kívánt szárnyforma szerint tetszőlegesen felvehető eloszlás </t>
  </si>
  <si>
    <t>Az adott csavar NACA X6 szárnyszelvényeinek megrajzolására szolgáló koordináták mm-ben</t>
  </si>
  <si>
    <t>*** a megfelelő anyag sűrűségét és a tényleges agyméreteket kell a képletbe betenni</t>
  </si>
  <si>
    <r>
      <t>Adatok</t>
    </r>
    <r>
      <rPr>
        <sz val="16"/>
        <rFont val="Arial"/>
        <family val="0"/>
      </rPr>
      <t xml:space="preserve">
Hajó teljes hossz ... m
Vízvonalhossz ... m
Szélesség ... m
Merülés ... m
Szabadoldal ... m
Vízkiszorítás ...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0"/>
      </rPr>
      <t xml:space="preserve">
stb.</t>
    </r>
  </si>
  <si>
    <t>... hajó hajócsavar-számítás örvényelmélettel két csavarnál</t>
  </si>
  <si>
    <r>
      <t>0,55C</t>
    </r>
    <r>
      <rPr>
        <vertAlign val="subscript"/>
        <sz val="9"/>
        <rFont val="Arial"/>
        <family val="0"/>
      </rPr>
      <t>B</t>
    </r>
    <r>
      <rPr>
        <sz val="9"/>
        <rFont val="Arial"/>
        <family val="0"/>
      </rPr>
      <t>-0,2</t>
    </r>
  </si>
  <si>
    <t>w</t>
  </si>
  <si>
    <t>kétcsavarosnál szokásos</t>
  </si>
  <si>
    <t>Egy főgép teljesítménye:</t>
  </si>
  <si>
    <t>kétcsavaros, 4.3.2.4.2 fej.</t>
  </si>
  <si>
    <t>T' = 2T(1-w)</t>
  </si>
  <si>
    <r>
      <t>Tolóerő tényező*, K</t>
    </r>
    <r>
      <rPr>
        <vertAlign val="subscript"/>
        <sz val="10"/>
        <rFont val="Arial"/>
        <family val="2"/>
      </rPr>
      <t>T</t>
    </r>
  </si>
  <si>
    <t>Effektív össz-tolóerő, N</t>
  </si>
  <si>
    <r>
      <t>Hajóellenállás</t>
    </r>
    <r>
      <rPr>
        <sz val="10"/>
        <rFont val="Arial"/>
        <family val="2"/>
      </rPr>
      <t>, N</t>
    </r>
  </si>
  <si>
    <t>Meghajtó főmotor telj.:</t>
  </si>
  <si>
    <t>Ideális prop. hatásfok, T</t>
  </si>
  <si>
    <r>
      <t>η</t>
    </r>
    <r>
      <rPr>
        <vertAlign val="subscript"/>
        <sz val="10"/>
        <rFont val="Arial"/>
        <family val="2"/>
      </rPr>
      <t>piT</t>
    </r>
    <r>
      <rPr>
        <sz val="10"/>
        <rFont val="Arial"/>
        <family val="0"/>
      </rPr>
      <t xml:space="preserve"> =</t>
    </r>
  </si>
  <si>
    <r>
      <t>λ</t>
    </r>
    <r>
      <rPr>
        <sz val="10"/>
        <rFont val="Arial"/>
        <family val="2"/>
      </rPr>
      <t>/η</t>
    </r>
    <r>
      <rPr>
        <vertAlign val="subscript"/>
        <sz val="10"/>
        <rFont val="Arial"/>
        <family val="2"/>
      </rPr>
      <t>pi</t>
    </r>
  </si>
  <si>
    <t>Ideális prop. hatásfok, P</t>
  </si>
  <si>
    <r>
      <t>η</t>
    </r>
    <r>
      <rPr>
        <vertAlign val="subscript"/>
        <sz val="10"/>
        <rFont val="Arial"/>
        <family val="2"/>
      </rPr>
      <t>piP</t>
    </r>
    <r>
      <rPr>
        <sz val="10"/>
        <rFont val="Arial"/>
        <family val="0"/>
      </rPr>
      <t xml:space="preserve"> =</t>
    </r>
  </si>
  <si>
    <r>
      <t>η</t>
    </r>
    <r>
      <rPr>
        <vertAlign val="subscript"/>
        <sz val="10"/>
        <rFont val="Arial"/>
        <family val="2"/>
      </rPr>
      <t>pi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H</t>
    </r>
  </si>
  <si>
    <t>λ/[1]</t>
  </si>
  <si>
    <r>
      <t>[2]/</t>
    </r>
    <r>
      <rPr>
        <sz val="6"/>
        <rFont val="Arial"/>
        <family val="2"/>
      </rPr>
      <t>η</t>
    </r>
    <r>
      <rPr>
        <vertAlign val="subscript"/>
        <sz val="6"/>
        <rFont val="Arial"/>
        <family val="2"/>
      </rPr>
      <t>pi</t>
    </r>
  </si>
  <si>
    <t>arctg[3]</t>
  </si>
  <si>
    <t>arctg[2]</t>
  </si>
  <si>
    <r>
      <t>V</t>
    </r>
    <r>
      <rPr>
        <vertAlign val="subscript"/>
        <sz val="6"/>
        <rFont val="Arial"/>
        <family val="0"/>
      </rPr>
      <t>S</t>
    </r>
    <r>
      <rPr>
        <sz val="6"/>
        <rFont val="Arial"/>
        <family val="0"/>
      </rPr>
      <t>(1-w)[8]/[9]</t>
    </r>
  </si>
  <si>
    <t>tetszőleges</t>
  </si>
  <si>
    <t>Főgépek effektív össz-teljesítménye**, W</t>
  </si>
  <si>
    <t>Választott szívási tényező:</t>
  </si>
  <si>
    <t>Egy főgép effektív teljesítménye:</t>
  </si>
  <si>
    <t>Hajócsavarok száma, i</t>
  </si>
  <si>
    <t>db</t>
  </si>
  <si>
    <t>Szárnyszám, z =</t>
  </si>
  <si>
    <r>
      <t>Optimális átmérő keresése wageningeni B.z.A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csavarhoz*, 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, N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adott</t>
    </r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</si>
  <si>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 1/min</t>
    </r>
  </si>
  <si>
    <t>Tolóerő egy csavaron:</t>
  </si>
  <si>
    <r>
      <t>Optimális átmérő keresése wageningeni B.z.A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csavarhoz, T, Np adott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</si>
  <si>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/i(1-t)</t>
    </r>
  </si>
  <si>
    <t>D, m</t>
  </si>
  <si>
    <t>B.3.55 sorozatcsavar*</t>
  </si>
  <si>
    <t>* megfelelő wageningeni csavardiagramból P/D-hez</t>
  </si>
  <si>
    <t>Kétcsavaros hajó csavarjának méretezése örvényelmélettel (BBBZ 4.3.2.4.2.2. fejezet)</t>
  </si>
  <si>
    <t>(Valóságos teljesítménytényező:</t>
  </si>
  <si>
    <t>Kramer-diagramból, 4.3.2.4.2.1.3. ábra)</t>
  </si>
  <si>
    <r>
      <t>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</si>
  <si>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(ld. hajócsavar anyagok  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</t>
    </r>
  </si>
  <si>
    <t>AlSi7Mg</t>
  </si>
  <si>
    <t>Csavarok tolóereje V sebességnél:</t>
  </si>
  <si>
    <r>
      <t>ε</t>
    </r>
    <r>
      <rPr>
        <vertAlign val="subscript"/>
        <sz val="10"/>
        <rFont val="Arial"/>
        <family val="2"/>
      </rPr>
      <t>ikorr</t>
    </r>
    <r>
      <rPr>
        <sz val="10"/>
        <rFont val="Arial"/>
        <family val="0"/>
      </rPr>
      <t xml:space="preserve"> =</t>
    </r>
  </si>
  <si>
    <t>(az adatcellákba a valóságos értékeket kell beírni)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</si>
</sst>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[$-40E]yyyy\.\ mmmm\ d\."/>
    <numFmt numFmtId="167" formatCode="&quot;H-&quot;0000"/>
    <numFmt numFmtId="168" formatCode="0.000000"/>
    <numFmt numFmtId="169" formatCode="0.00000000"/>
    <numFmt numFmtId="170" formatCode="0.0"/>
    <numFmt numFmtId="171" formatCode="0.00000"/>
    <numFmt numFmtId="172" formatCode="0.00000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vertAlign val="superscript"/>
      <sz val="16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vertAlign val="subscript"/>
      <sz val="8"/>
      <name val="Arial"/>
      <family val="2"/>
    </font>
    <font>
      <vertAlign val="subscript"/>
      <sz val="7"/>
      <name val="Arial"/>
      <family val="0"/>
    </font>
    <font>
      <sz val="5"/>
      <name val="Arial"/>
      <family val="0"/>
    </font>
    <font>
      <vertAlign val="subscript"/>
      <sz val="5"/>
      <name val="Arial"/>
      <family val="0"/>
    </font>
    <font>
      <vertAlign val="superscript"/>
      <sz val="9"/>
      <name val="Arial"/>
      <family val="0"/>
    </font>
    <font>
      <sz val="6"/>
      <name val="Arial"/>
      <family val="0"/>
    </font>
    <font>
      <vertAlign val="subscript"/>
      <sz val="6"/>
      <name val="Arial"/>
      <family val="0"/>
    </font>
    <font>
      <vertAlign val="superscript"/>
      <sz val="6"/>
      <name val="Arial"/>
      <family val="0"/>
    </font>
    <font>
      <b/>
      <sz val="6"/>
      <name val="Arial"/>
      <family val="2"/>
    </font>
    <font>
      <sz val="5.75"/>
      <name val="Arial"/>
      <family val="2"/>
    </font>
    <font>
      <sz val="6.75"/>
      <name val="Arial"/>
      <family val="2"/>
    </font>
    <font>
      <sz val="5.25"/>
      <name val="Arial"/>
      <family val="2"/>
    </font>
    <font>
      <vertAlign val="superscript"/>
      <sz val="7"/>
      <name val="Arial"/>
      <family val="0"/>
    </font>
    <font>
      <b/>
      <sz val="5.75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64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0" fillId="0" borderId="0" xfId="0" applyNumberFormat="1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vertical="distributed"/>
    </xf>
    <xf numFmtId="0" fontId="8" fillId="0" borderId="0" xfId="0" applyFont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71" fontId="0" fillId="0" borderId="5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19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6" fillId="0" borderId="0" xfId="0" applyFont="1" applyAlignment="1">
      <alignment horizontal="left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6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5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Adatok!$D$15:$L$15</c:f>
              <c:numCache/>
            </c:numRef>
          </c:cat>
          <c:val>
            <c:numRef>
              <c:f>Adatok!$D$17:$L$17</c:f>
              <c:numCache/>
            </c:numRef>
          </c:val>
          <c:smooth val="0"/>
        </c:ser>
        <c:ser>
          <c:idx val="1"/>
          <c:order val="1"/>
          <c:tx>
            <c:v>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Adatok!$D$18:$L$18</c:f>
              <c:numCache/>
            </c:numRef>
          </c:val>
          <c:smooth val="0"/>
        </c:ser>
        <c:ser>
          <c:idx val="2"/>
          <c:order val="2"/>
          <c:tx>
            <c:v>PBE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Adatok!$D$19:$L$19</c:f>
              <c:numCache/>
            </c:numRef>
          </c:val>
          <c:smooth val="0"/>
        </c:ser>
        <c:axId val="59452655"/>
        <c:axId val="65311848"/>
      </c:lineChart>
      <c:cat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sebesség, csomó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ellenállás, N  teljesítmény,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örvény!$E$138</c:f>
              <c:strCache>
                <c:ptCount val="1"/>
                <c:pt idx="0">
                  <c:v> f/c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örvény!$A$140:$A$148</c:f>
              <c:numCache/>
            </c:numRef>
          </c:cat>
          <c:val>
            <c:numRef>
              <c:f>örvény!$E$140:$E$148</c:f>
              <c:numCache/>
            </c:numRef>
          </c:val>
          <c:smooth val="0"/>
        </c:ser>
        <c:ser>
          <c:idx val="1"/>
          <c:order val="1"/>
          <c:tx>
            <c:strRef>
              <c:f>örvény!$O$138</c:f>
              <c:strCache>
                <c:ptCount val="1"/>
                <c:pt idx="0">
                  <c:v>f/c ellenőrzés, 0,0678CLc/c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örvény!$O$140:$O$148</c:f>
              <c:numCache/>
            </c:numRef>
          </c:val>
          <c:smooth val="0"/>
        </c:ser>
        <c:ser>
          <c:idx val="2"/>
          <c:order val="2"/>
          <c:tx>
            <c:strRef>
              <c:f>örvény!$H$138</c:f>
              <c:strCache>
                <c:ptCount val="1"/>
                <c:pt idx="0">
                  <c:v>fgeom/c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örvény!$H$140:$H$148</c:f>
              <c:numCache/>
            </c:numRef>
          </c:val>
          <c:smooth val="0"/>
        </c:ser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f/c, f/cellenőrzés és fgeom/c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2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csavarrajz!$B$67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csavarrajz!$C$61:$L$61</c:f>
              <c:numCache/>
            </c:numRef>
          </c:cat>
          <c:val>
            <c:numRef>
              <c:f>csavarrajz!$C$67:$L$67</c:f>
              <c:numCache/>
            </c:numRef>
          </c:val>
          <c:smooth val="0"/>
        </c:ser>
        <c:ser>
          <c:idx val="1"/>
          <c:order val="1"/>
          <c:tx>
            <c:strRef>
              <c:f>csavarrajz!$B$69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csavarrajz!$C$61:$L$61</c:f>
              <c:numCache/>
            </c:numRef>
          </c:cat>
          <c:val>
            <c:numRef>
              <c:f>csavarrajz!$C$69:$L$69</c:f>
              <c:numCache/>
            </c:numRef>
          </c:val>
          <c:smooth val="0"/>
        </c:ser>
        <c:axId val="46030803"/>
        <c:axId val="11624044"/>
      </c:lineChart>
      <c:cat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vet.be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csavarrajz!$A$236:$A$243</c:f>
              <c:numCache/>
            </c:numRef>
          </c:cat>
          <c:val>
            <c:numRef>
              <c:f>csavarrajz!$G$236:$G$243</c:f>
              <c:numCache/>
            </c:numRef>
          </c:val>
          <c:smooth val="0"/>
        </c:ser>
        <c:ser>
          <c:idx val="1"/>
          <c:order val="1"/>
          <c:tx>
            <c:v>vet.ki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csavarrajz!$A$236:$A$243</c:f>
              <c:numCache/>
            </c:numRef>
          </c:cat>
          <c:val>
            <c:numRef>
              <c:f>csavarrajz!$F$236:$F$243</c:f>
              <c:numCache/>
            </c:numRef>
          </c:val>
          <c:smooth val="0"/>
        </c:ser>
        <c:ser>
          <c:idx val="2"/>
          <c:order val="2"/>
          <c:tx>
            <c:v>oldal 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csavarrajz!$A$236:$A$243</c:f>
              <c:numCache/>
            </c:numRef>
          </c:cat>
          <c:val>
            <c:numRef>
              <c:f>csavarrajz!$I$236:$I$243</c:f>
              <c:numCache/>
            </c:numRef>
          </c:val>
          <c:smooth val="0"/>
        </c:ser>
        <c:ser>
          <c:idx val="3"/>
          <c:order val="3"/>
          <c:tx>
            <c:v>oldal ki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csavarrajz!$A$236:$A$243</c:f>
              <c:numCache/>
            </c:numRef>
          </c:cat>
          <c:val>
            <c:numRef>
              <c:f>csavarrajz!$H$236:$H$243</c:f>
              <c:numCache/>
            </c:numRef>
          </c:val>
          <c:smooth val="0"/>
        </c:ser>
        <c:ser>
          <c:idx val="4"/>
          <c:order val="4"/>
          <c:tx>
            <c:strRef>
              <c:f>csavarrajz!$D$234</c:f>
              <c:strCache>
                <c:ptCount val="1"/>
                <c:pt idx="0">
                  <c:v>φ,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csavarrajz!$D$236:$D$243</c:f>
              <c:numCache/>
            </c:numRef>
          </c:val>
          <c:smooth val="0"/>
        </c:ser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kilépőél  mm  belépőél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csavarrajz!$C$7</c:f>
              <c:strCache>
                <c:ptCount val="1"/>
                <c:pt idx="0">
                  <c:v>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csavarrajz!$A$8:$A$16</c:f>
              <c:numCache/>
            </c:numRef>
          </c:cat>
          <c:val>
            <c:numRef>
              <c:f>csavarrajz!$C$8:$C$16</c:f>
              <c:numCache/>
            </c:numRef>
          </c:val>
          <c:smooth val="0"/>
        </c:ser>
        <c:ser>
          <c:idx val="1"/>
          <c:order val="1"/>
          <c:tx>
            <c:strRef>
              <c:f>csavarrajz!$D$7</c:f>
              <c:strCache>
                <c:ptCount val="1"/>
                <c:pt idx="0">
                  <c:v>cki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csavarrajz!$D$8:$D$16</c:f>
              <c:numCache/>
            </c:numRef>
          </c:val>
          <c:smooth val="0"/>
        </c:ser>
        <c:ser>
          <c:idx val="2"/>
          <c:order val="2"/>
          <c:tx>
            <c:strRef>
              <c:f>csavarrajz!$E$7</c:f>
              <c:strCache>
                <c:ptCount val="1"/>
                <c:pt idx="0">
                  <c:v>cbe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csavarrajz!$E$8:$E$16</c:f>
              <c:numCache/>
            </c:numRef>
          </c:val>
          <c:smooth val="0"/>
        </c:ser>
        <c:ser>
          <c:idx val="3"/>
          <c:order val="3"/>
          <c:tx>
            <c:strRef>
              <c:f>csavarrajz!$F$7</c:f>
              <c:strCache>
                <c:ptCount val="1"/>
                <c:pt idx="0">
                  <c:v>cmaxtg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csavarrajz!$F$8:$F$16</c:f>
              <c:numCache/>
            </c:numRef>
          </c:val>
          <c:smooth val="0"/>
        </c:ser>
        <c:axId val="18211303"/>
        <c:axId val="29684000"/>
      </c:lineChart>
      <c:cat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csavarrajz!$B$35</c:f>
              <c:strCache>
                <c:ptCount val="1"/>
                <c:pt idx="0">
                  <c:v>tmax, 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csavarrajz!$A$36:$A$44</c:f>
              <c:numCache/>
            </c:numRef>
          </c:cat>
          <c:val>
            <c:numRef>
              <c:f>csavarrajz!$B$36:$B$44</c:f>
              <c:numCache/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tmax,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csavarrajz!$C$70:$L$70</c:f>
              <c:numCache/>
            </c:numRef>
          </c:cat>
          <c:val>
            <c:numRef>
              <c:f>csavarrajz!$C$76:$L$76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csavarrajz!$C$78:$L$78</c:f>
              <c:numCache/>
            </c:numRef>
          </c:val>
          <c:smooth val="0"/>
        </c:ser>
        <c:axId val="30581883"/>
        <c:axId val="6801492"/>
      </c:lineChart>
      <c:cat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1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csavarrajz!$C$79:$L$79</c:f>
              <c:numCache/>
            </c:numRef>
          </c:cat>
          <c:val>
            <c:numRef>
              <c:f>csavarrajz!$C$85:$L$85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csavarrajz!$C$79:$L$79</c:f>
              <c:numCache/>
            </c:numRef>
          </c:cat>
          <c:val>
            <c:numRef>
              <c:f>csavarrajz!$C$87:$L$87</c:f>
              <c:numCache/>
            </c:numRef>
          </c:val>
          <c:smooth val="0"/>
        </c:ser>
        <c:axId val="61213429"/>
        <c:axId val="14049950"/>
      </c:lineChart>
      <c:catAx>
        <c:axId val="6121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csavarrajz!$C$88:$L$88</c:f>
              <c:numCache/>
            </c:numRef>
          </c:cat>
          <c:val>
            <c:numRef>
              <c:f>csavarrajz!$C$94:$L$94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csavarrajz!$C$88:$L$88</c:f>
              <c:numCache/>
            </c:numRef>
          </c:cat>
          <c:val>
            <c:numRef>
              <c:f>csavarrajz!$C$96:$L$96</c:f>
              <c:numCache/>
            </c:numRef>
          </c:val>
          <c:smooth val="0"/>
        </c:ser>
        <c:axId val="59340687"/>
        <c:axId val="64304136"/>
      </c:line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40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csavarrajz!$C$97:$L$97</c:f>
              <c:numCache/>
            </c:numRef>
          </c:cat>
          <c:val>
            <c:numRef>
              <c:f>csavarrajz!$C$103:$L$103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csavarrajz!$C$97:$L$97</c:f>
              <c:numCache/>
            </c:numRef>
          </c:cat>
          <c:val>
            <c:numRef>
              <c:f>csavarrajz!$C$105:$L$105</c:f>
              <c:numCache/>
            </c:numRef>
          </c:val>
          <c:smooth val="0"/>
        </c:ser>
        <c:axId val="41866313"/>
        <c:axId val="41252498"/>
      </c:lineChart>
      <c:cat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6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csavarrajz!$C$106:$L$106</c:f>
              <c:numCache/>
            </c:numRef>
          </c:cat>
          <c:val>
            <c:numRef>
              <c:f>csavarrajz!$C$112:$L$112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csavarrajz!$C$106:$L$106</c:f>
              <c:numCache/>
            </c:numRef>
          </c:cat>
          <c:val>
            <c:numRef>
              <c:f>csavarrajz!$C$114:$L$114</c:f>
              <c:numCache/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2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'kivál. Ps-Np-KQ-Dopt'!$A$14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Ps-Np-KQ-Dopt'!$B$13:$G$13</c:f>
              <c:numCache/>
            </c:numRef>
          </c:cat>
          <c:val>
            <c:numRef>
              <c:f>'kivál. Ps-Np-KQ-Dopt'!$B$14:$G$14</c:f>
              <c:numCache/>
            </c:numRef>
          </c:val>
          <c:smooth val="0"/>
        </c:ser>
        <c:ser>
          <c:idx val="1"/>
          <c:order val="1"/>
          <c:tx>
            <c:strRef>
              <c:f>'kivál. Ps-Np-KQ-Dopt'!$A$17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Ps-Np-KQ-Dopt'!$B$13:$G$13</c:f>
              <c:numCache/>
            </c:numRef>
          </c:cat>
          <c:val>
            <c:numRef>
              <c:f>'kivál. Ps-Np-KQ-Dopt'!$B$17:$G$17</c:f>
              <c:numCache/>
            </c:numRef>
          </c:val>
          <c:smooth val="0"/>
        </c:ser>
        <c:ser>
          <c:idx val="2"/>
          <c:order val="2"/>
          <c:tx>
            <c:strRef>
              <c:f>'kivál. Ps-Np-KQ-Dopt'!$A$16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Ps-Np-KQ-Dopt'!$B$13:$G$13</c:f>
              <c:numCache/>
            </c:numRef>
          </c:cat>
          <c:val>
            <c:numRef>
              <c:f>'kivál. Ps-Np-KQ-Dopt'!$B$16:$G$16</c:f>
              <c:numCache/>
            </c:numRef>
          </c:val>
          <c:smooth val="0"/>
        </c:ser>
        <c:ser>
          <c:idx val="3"/>
          <c:order val="3"/>
          <c:tx>
            <c:strRef>
              <c:f>'kivál. Ps-Np-KQ-Dopt'!$A$18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Ps-Np-KQ-Dopt'!$B$13:$G$13</c:f>
              <c:numCache/>
            </c:numRef>
          </c:cat>
          <c:val>
            <c:numRef>
              <c:f>'kivál. Ps-Np-KQ-Dopt'!$B$18:$G$18</c:f>
              <c:numCache/>
            </c:numRef>
          </c:val>
          <c:smooth val="0"/>
        </c:ser>
        <c:axId val="50935721"/>
        <c:axId val="55768306"/>
      </c:line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csavarrajz!$C$115:$L$115</c:f>
              <c:numCache/>
            </c:numRef>
          </c:cat>
          <c:val>
            <c:numRef>
              <c:f>csavarrajz!$C$121:$L$121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csavarrajz!$C$115:$L$115</c:f>
              <c:numCache/>
            </c:numRef>
          </c:cat>
          <c:val>
            <c:numRef>
              <c:f>csavarrajz!$C$123:$L$123</c:f>
              <c:numCache/>
            </c:numRef>
          </c:val>
          <c:smooth val="0"/>
        </c:ser>
        <c:axId val="8300061"/>
        <c:axId val="7591686"/>
      </c:lineChart>
      <c:catAx>
        <c:axId val="8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csavarrajz!$C$124:$L$124</c:f>
              <c:numCache/>
            </c:numRef>
          </c:cat>
          <c:val>
            <c:numRef>
              <c:f>csavarrajz!$C$130:$L$130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csavarrajz!$C$124:$L$124</c:f>
              <c:numCache/>
            </c:numRef>
          </c:cat>
          <c:val>
            <c:numRef>
              <c:f>csavarrajz!$C$132:$L$132</c:f>
              <c:numCache/>
            </c:numRef>
          </c:val>
          <c:smooth val="0"/>
        </c:ser>
        <c:axId val="1216311"/>
        <c:axId val="10946800"/>
      </c:lineChart>
      <c:catAx>
        <c:axId val="12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6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csavarrajz!$B$76</c:f>
              <c:strCache>
                <c:ptCount val="1"/>
                <c:pt idx="0">
                  <c:v>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csavarrajz!$C$133:$L$133</c:f>
              <c:numCache/>
            </c:numRef>
          </c:cat>
          <c:val>
            <c:numRef>
              <c:f>csavarrajz!$C$139:$L$139</c:f>
              <c:numCache/>
            </c:numRef>
          </c:val>
          <c:smooth val="0"/>
        </c:ser>
        <c:ser>
          <c:idx val="1"/>
          <c:order val="1"/>
          <c:tx>
            <c:strRef>
              <c:f>csavarrajz!$B$78</c:f>
              <c:strCache>
                <c:ptCount val="1"/>
                <c:pt idx="0">
                  <c:v>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csavarrajz!$C$133:$L$133</c:f>
              <c:numCache/>
            </c:numRef>
          </c:cat>
          <c:val>
            <c:numRef>
              <c:f>csavarrajz!$C$141:$L$141</c:f>
              <c:numCache/>
            </c:numRef>
          </c:val>
          <c:smooth val="0"/>
        </c:ser>
        <c:axId val="31412337"/>
        <c:axId val="14275578"/>
      </c:lineChart>
      <c:cat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yf és ya,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'kivál. RT-T-KT-Nopt'!$A$10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RT-T-KT-Nopt'!$B$7:$D$7</c:f>
              <c:numCache/>
            </c:numRef>
          </c:cat>
          <c:val>
            <c:numRef>
              <c:f>'kivál. RT-T-KT-Nopt'!$B$10:$D$10</c:f>
              <c:numCache/>
            </c:numRef>
          </c:val>
          <c:smooth val="0"/>
        </c:ser>
        <c:ser>
          <c:idx val="1"/>
          <c:order val="1"/>
          <c:tx>
            <c:strRef>
              <c:f>'kivál. RT-T-KT-Nopt'!$A$11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RT-T-KT-Nopt'!$B$7:$D$7</c:f>
              <c:numCache/>
            </c:numRef>
          </c:cat>
          <c:val>
            <c:numRef>
              <c:f>'kivál. RT-T-KT-Nopt'!$B$11:$D$11</c:f>
              <c:numCache/>
            </c:numRef>
          </c:val>
          <c:smooth val="0"/>
        </c:ser>
        <c:ser>
          <c:idx val="2"/>
          <c:order val="2"/>
          <c:tx>
            <c:strRef>
              <c:f>'kivál. RT-T-KT-Nopt'!$A$12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RT-T-KT-Nopt'!$B$7:$D$7</c:f>
              <c:numCache/>
            </c:numRef>
          </c:cat>
          <c:val>
            <c:numRef>
              <c:f>'kivál. RT-T-KT-Nopt'!$B$12:$D$12</c:f>
              <c:numCache/>
            </c:numRef>
          </c:val>
          <c:smooth val="0"/>
        </c:ser>
        <c:axId val="32152707"/>
        <c:axId val="20938908"/>
      </c:lineChart>
      <c:catAx>
        <c:axId val="32152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Np 1/min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P/D, 10KQ, hatásfok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2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'kivál. RT-T-KT-Dopt'!$A$10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'kivál. RT-T-KT-Dopt'!$B$7:$G$7</c:f>
              <c:numCache/>
            </c:numRef>
          </c:cat>
          <c:val>
            <c:numRef>
              <c:f>'kivál. RT-T-KT-Dopt'!$B$10:$G$10</c:f>
              <c:numCache/>
            </c:numRef>
          </c:val>
          <c:smooth val="0"/>
        </c:ser>
        <c:ser>
          <c:idx val="0"/>
          <c:order val="1"/>
          <c:tx>
            <c:strRef>
              <c:f>'kivál. RT-T-KT-Dopt'!$A$8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'kivál. RT-T-KT-Dopt'!$B$8:$G$8</c:f>
              <c:numCache/>
            </c:numRef>
          </c:val>
          <c:smooth val="0"/>
        </c:ser>
        <c:ser>
          <c:idx val="1"/>
          <c:order val="2"/>
          <c:tx>
            <c:strRef>
              <c:f>'kivál. RT-T-KT-Dopt'!$A$11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'kivál. RT-T-KT-Dopt'!$B$11:$G$11</c:f>
              <c:numCache/>
            </c:numRef>
          </c:val>
          <c:smooth val="0"/>
        </c:ser>
        <c:ser>
          <c:idx val="2"/>
          <c:order val="3"/>
          <c:tx>
            <c:strRef>
              <c:f>'kivál. RT-T-KT-Dopt'!$A$12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'kivál. RT-T-KT-Dopt'!$B$12:$G$12</c:f>
              <c:numCache/>
            </c:numRef>
          </c:val>
          <c:smooth val="0"/>
        </c:ser>
        <c:axId val="54232445"/>
        <c:axId val="18329958"/>
      </c:lineChart>
      <c:catAx>
        <c:axId val="542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átmérő,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'opt. csavar jellemzői'!$C$16</c:f>
              <c:strCache>
                <c:ptCount val="1"/>
                <c:pt idx="0">
                  <c:v>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'opt. csavar jellemzői'!$D$11:$I$11</c:f>
              <c:numCache/>
            </c:numRef>
          </c:cat>
          <c:val>
            <c:numRef>
              <c:f>'opt. csavar jellemzői'!$D$16:$H$16</c:f>
              <c:numCache/>
            </c:numRef>
          </c:val>
          <c:smooth val="0"/>
        </c:ser>
        <c:ser>
          <c:idx val="1"/>
          <c:order val="1"/>
          <c:tx>
            <c:v>T'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'opt. csavar jellemzői'!$D$15:$I$15</c:f>
              <c:numCache/>
            </c:numRef>
          </c:val>
          <c:smooth val="0"/>
        </c:ser>
        <c:ser>
          <c:idx val="2"/>
          <c:order val="2"/>
          <c:tx>
            <c:v>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'opt. csavar jellemzői'!$D$14:$I$14</c:f>
              <c:numCache/>
            </c:numRef>
          </c:val>
          <c:smooth val="0"/>
        </c:ser>
        <c:axId val="30751895"/>
        <c:axId val="8331600"/>
      </c:line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hajósebesség, csomó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effektív tolóerő és ellenállás,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5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örvény!$F$122</c:f>
              <c:strCache>
                <c:ptCount val="1"/>
                <c:pt idx="0">
                  <c:v>t,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örvény!$A$124:$A$132</c:f>
              <c:numCache/>
            </c:numRef>
          </c:cat>
          <c:val>
            <c:numRef>
              <c:f>örvény!$F$124:$F$132</c:f>
              <c:numCache/>
            </c:numRef>
          </c:val>
          <c:smooth val="0"/>
        </c:ser>
        <c:axId val="7875537"/>
        <c:axId val="3770970"/>
      </c:line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75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örvény!$I$122</c:f>
              <c:strCache>
                <c:ptCount val="1"/>
                <c:pt idx="0">
                  <c:v>ckav,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örvény!$A$124:$A$132</c:f>
              <c:numCache/>
            </c:numRef>
          </c:cat>
          <c:val>
            <c:numRef>
              <c:f>örvény!$I$124:$I$132</c:f>
              <c:numCache/>
            </c:numRef>
          </c:val>
          <c:smooth val="0"/>
        </c:ser>
        <c:ser>
          <c:idx val="1"/>
          <c:order val="1"/>
          <c:tx>
            <c:strRef>
              <c:f>örvény!$B$138</c:f>
              <c:strCache>
                <c:ptCount val="1"/>
                <c:pt idx="0">
                  <c:v>cszil,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örvény!$B$140:$B$148</c:f>
              <c:numCache/>
            </c:numRef>
          </c:val>
          <c:smooth val="0"/>
        </c:ser>
        <c:ser>
          <c:idx val="2"/>
          <c:order val="2"/>
          <c:tx>
            <c:strRef>
              <c:f>örvény!$C$138</c:f>
              <c:strCache>
                <c:ptCount val="1"/>
                <c:pt idx="0">
                  <c:v>cvégleges,cm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örvény!$C$140:$C$148</c:f>
              <c:numCache/>
            </c:numRef>
          </c:val>
          <c:smooth val="0"/>
        </c:ser>
        <c:axId val="33938731"/>
        <c:axId val="37013124"/>
      </c:line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ckav, cszil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örvény!$G$166</c:f>
              <c:strCache>
                <c:ptCount val="1"/>
                <c:pt idx="0">
                  <c:v> Pkorr,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örvény!$A$168:$A$176</c:f>
              <c:numCache/>
            </c:numRef>
          </c:cat>
          <c:val>
            <c:numRef>
              <c:f>örvény!$G$168:$G$176</c:f>
              <c:numCache/>
            </c:numRef>
          </c:val>
          <c:smooth val="0"/>
        </c:ser>
        <c:ser>
          <c:idx val="1"/>
          <c:order val="1"/>
          <c:tx>
            <c:strRef>
              <c:f>örvény!$F$166</c:f>
              <c:strCache>
                <c:ptCount val="1"/>
                <c:pt idx="0">
                  <c:v> P,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örvény!$F$168:$F$176</c:f>
              <c:numCache/>
            </c:numRef>
          </c:val>
          <c:smooth val="0"/>
        </c:ser>
        <c:axId val="64682661"/>
        <c:axId val="45273038"/>
      </c:lineChart>
      <c:catAx>
        <c:axId val="646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P, Pkorr,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örvény!$B$122</c:f>
              <c:strCache>
                <c:ptCount val="1"/>
                <c:pt idx="0">
                  <c:v>t2c, cm3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örvény!$A$124:$A$132</c:f>
              <c:numCache/>
            </c:numRef>
          </c:cat>
          <c:val>
            <c:numRef>
              <c:f>örvény!$B$124:$B$132</c:f>
              <c:numCache/>
            </c:numRef>
          </c:val>
          <c:smooth val="0"/>
        </c:ser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t2c, cm3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21</xdr:row>
      <xdr:rowOff>0</xdr:rowOff>
    </xdr:from>
    <xdr:to>
      <xdr:col>8</xdr:col>
      <xdr:colOff>257175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66725" y="3571875"/>
        <a:ext cx="46672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19</xdr:row>
      <xdr:rowOff>66675</xdr:rowOff>
    </xdr:from>
    <xdr:to>
      <xdr:col>8</xdr:col>
      <xdr:colOff>133350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342900" y="3657600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47625</xdr:rowOff>
    </xdr:from>
    <xdr:to>
      <xdr:col>7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85725" y="2514600"/>
        <a:ext cx="41814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28575</xdr:rowOff>
    </xdr:from>
    <xdr:to>
      <xdr:col>8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61950" y="2457450"/>
        <a:ext cx="4667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0</xdr:rowOff>
    </xdr:from>
    <xdr:to>
      <xdr:col>8</xdr:col>
      <xdr:colOff>285750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495300" y="3086100"/>
        <a:ext cx="46958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119</xdr:row>
      <xdr:rowOff>47625</xdr:rowOff>
    </xdr:from>
    <xdr:to>
      <xdr:col>13</xdr:col>
      <xdr:colOff>485775</xdr:colOff>
      <xdr:row>135</xdr:row>
      <xdr:rowOff>19050</xdr:rowOff>
    </xdr:to>
    <xdr:graphicFrame>
      <xdr:nvGraphicFramePr>
        <xdr:cNvPr id="1" name="Chart 1"/>
        <xdr:cNvGraphicFramePr/>
      </xdr:nvGraphicFramePr>
      <xdr:xfrm>
        <a:off x="5572125" y="21031200"/>
        <a:ext cx="2828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135</xdr:row>
      <xdr:rowOff>28575</xdr:rowOff>
    </xdr:from>
    <xdr:to>
      <xdr:col>13</xdr:col>
      <xdr:colOff>514350</xdr:colOff>
      <xdr:row>151</xdr:row>
      <xdr:rowOff>47625</xdr:rowOff>
    </xdr:to>
    <xdr:graphicFrame>
      <xdr:nvGraphicFramePr>
        <xdr:cNvPr id="2" name="Chart 2"/>
        <xdr:cNvGraphicFramePr/>
      </xdr:nvGraphicFramePr>
      <xdr:xfrm>
        <a:off x="5581650" y="23717250"/>
        <a:ext cx="28479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164</xdr:row>
      <xdr:rowOff>9525</xdr:rowOff>
    </xdr:from>
    <xdr:to>
      <xdr:col>13</xdr:col>
      <xdr:colOff>581025</xdr:colOff>
      <xdr:row>179</xdr:row>
      <xdr:rowOff>66675</xdr:rowOff>
    </xdr:to>
    <xdr:graphicFrame>
      <xdr:nvGraphicFramePr>
        <xdr:cNvPr id="3" name="Chart 3"/>
        <xdr:cNvGraphicFramePr/>
      </xdr:nvGraphicFramePr>
      <xdr:xfrm>
        <a:off x="5591175" y="28508325"/>
        <a:ext cx="29051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106</xdr:row>
      <xdr:rowOff>19050</xdr:rowOff>
    </xdr:from>
    <xdr:to>
      <xdr:col>14</xdr:col>
      <xdr:colOff>19050</xdr:colOff>
      <xdr:row>119</xdr:row>
      <xdr:rowOff>28575</xdr:rowOff>
    </xdr:to>
    <xdr:graphicFrame>
      <xdr:nvGraphicFramePr>
        <xdr:cNvPr id="4" name="Chart 4"/>
        <xdr:cNvGraphicFramePr/>
      </xdr:nvGraphicFramePr>
      <xdr:xfrm>
        <a:off x="5648325" y="18669000"/>
        <a:ext cx="2895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151</xdr:row>
      <xdr:rowOff>66675</xdr:rowOff>
    </xdr:from>
    <xdr:to>
      <xdr:col>14</xdr:col>
      <xdr:colOff>9525</xdr:colOff>
      <xdr:row>163</xdr:row>
      <xdr:rowOff>28575</xdr:rowOff>
    </xdr:to>
    <xdr:graphicFrame>
      <xdr:nvGraphicFramePr>
        <xdr:cNvPr id="5" name="Chart 5"/>
        <xdr:cNvGraphicFramePr/>
      </xdr:nvGraphicFramePr>
      <xdr:xfrm>
        <a:off x="5581650" y="26422350"/>
        <a:ext cx="29527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144</xdr:row>
      <xdr:rowOff>9525</xdr:rowOff>
    </xdr:from>
    <xdr:to>
      <xdr:col>7</xdr:col>
      <xdr:colOff>371475</xdr:colOff>
      <xdr:row>149</xdr:row>
      <xdr:rowOff>47625</xdr:rowOff>
    </xdr:to>
    <xdr:graphicFrame>
      <xdr:nvGraphicFramePr>
        <xdr:cNvPr id="1" name="Chart 3"/>
        <xdr:cNvGraphicFramePr/>
      </xdr:nvGraphicFramePr>
      <xdr:xfrm>
        <a:off x="990600" y="26031825"/>
        <a:ext cx="3629025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244</xdr:row>
      <xdr:rowOff>19050</xdr:rowOff>
    </xdr:from>
    <xdr:to>
      <xdr:col>8</xdr:col>
      <xdr:colOff>504825</xdr:colOff>
      <xdr:row>259</xdr:row>
      <xdr:rowOff>133350</xdr:rowOff>
    </xdr:to>
    <xdr:graphicFrame>
      <xdr:nvGraphicFramePr>
        <xdr:cNvPr id="2" name="Chart 12"/>
        <xdr:cNvGraphicFramePr/>
      </xdr:nvGraphicFramePr>
      <xdr:xfrm>
        <a:off x="104775" y="42348150"/>
        <a:ext cx="5257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18</xdr:row>
      <xdr:rowOff>19050</xdr:rowOff>
    </xdr:from>
    <xdr:to>
      <xdr:col>8</xdr:col>
      <xdr:colOff>438150</xdr:colOff>
      <xdr:row>32</xdr:row>
      <xdr:rowOff>19050</xdr:rowOff>
    </xdr:to>
    <xdr:graphicFrame>
      <xdr:nvGraphicFramePr>
        <xdr:cNvPr id="3" name="Chart 13"/>
        <xdr:cNvGraphicFramePr/>
      </xdr:nvGraphicFramePr>
      <xdr:xfrm>
        <a:off x="133350" y="2971800"/>
        <a:ext cx="51625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34</xdr:row>
      <xdr:rowOff>28575</xdr:rowOff>
    </xdr:from>
    <xdr:to>
      <xdr:col>8</xdr:col>
      <xdr:colOff>561975</xdr:colOff>
      <xdr:row>44</xdr:row>
      <xdr:rowOff>85725</xdr:rowOff>
    </xdr:to>
    <xdr:graphicFrame>
      <xdr:nvGraphicFramePr>
        <xdr:cNvPr id="4" name="Chart 14"/>
        <xdr:cNvGraphicFramePr/>
      </xdr:nvGraphicFramePr>
      <xdr:xfrm>
        <a:off x="1838325" y="5572125"/>
        <a:ext cx="358140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149</xdr:row>
      <xdr:rowOff>9525</xdr:rowOff>
    </xdr:from>
    <xdr:to>
      <xdr:col>8</xdr:col>
      <xdr:colOff>476250</xdr:colOff>
      <xdr:row>155</xdr:row>
      <xdr:rowOff>9525</xdr:rowOff>
    </xdr:to>
    <xdr:graphicFrame>
      <xdr:nvGraphicFramePr>
        <xdr:cNvPr id="5" name="Chart 18"/>
        <xdr:cNvGraphicFramePr/>
      </xdr:nvGraphicFramePr>
      <xdr:xfrm>
        <a:off x="752475" y="26841450"/>
        <a:ext cx="4581525" cy="97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154</xdr:row>
      <xdr:rowOff>9525</xdr:rowOff>
    </xdr:from>
    <xdr:to>
      <xdr:col>9</xdr:col>
      <xdr:colOff>209550</xdr:colOff>
      <xdr:row>161</xdr:row>
      <xdr:rowOff>19050</xdr:rowOff>
    </xdr:to>
    <xdr:graphicFrame>
      <xdr:nvGraphicFramePr>
        <xdr:cNvPr id="6" name="Chart 19"/>
        <xdr:cNvGraphicFramePr/>
      </xdr:nvGraphicFramePr>
      <xdr:xfrm>
        <a:off x="676275" y="27651075"/>
        <a:ext cx="50006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160</xdr:row>
      <xdr:rowOff>9525</xdr:rowOff>
    </xdr:from>
    <xdr:to>
      <xdr:col>9</xdr:col>
      <xdr:colOff>371475</xdr:colOff>
      <xdr:row>167</xdr:row>
      <xdr:rowOff>133350</xdr:rowOff>
    </xdr:to>
    <xdr:graphicFrame>
      <xdr:nvGraphicFramePr>
        <xdr:cNvPr id="7" name="Chart 20"/>
        <xdr:cNvGraphicFramePr/>
      </xdr:nvGraphicFramePr>
      <xdr:xfrm>
        <a:off x="628650" y="28622625"/>
        <a:ext cx="5210175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581025</xdr:colOff>
      <xdr:row>167</xdr:row>
      <xdr:rowOff>28575</xdr:rowOff>
    </xdr:from>
    <xdr:to>
      <xdr:col>9</xdr:col>
      <xdr:colOff>514350</xdr:colOff>
      <xdr:row>176</xdr:row>
      <xdr:rowOff>0</xdr:rowOff>
    </xdr:to>
    <xdr:graphicFrame>
      <xdr:nvGraphicFramePr>
        <xdr:cNvPr id="8" name="Chart 21"/>
        <xdr:cNvGraphicFramePr/>
      </xdr:nvGraphicFramePr>
      <xdr:xfrm>
        <a:off x="581025" y="29775150"/>
        <a:ext cx="5400675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561975</xdr:colOff>
      <xdr:row>175</xdr:row>
      <xdr:rowOff>9525</xdr:rowOff>
    </xdr:from>
    <xdr:to>
      <xdr:col>9</xdr:col>
      <xdr:colOff>504825</xdr:colOff>
      <xdr:row>184</xdr:row>
      <xdr:rowOff>104775</xdr:rowOff>
    </xdr:to>
    <xdr:graphicFrame>
      <xdr:nvGraphicFramePr>
        <xdr:cNvPr id="9" name="Chart 22"/>
        <xdr:cNvGraphicFramePr/>
      </xdr:nvGraphicFramePr>
      <xdr:xfrm>
        <a:off x="561975" y="31051500"/>
        <a:ext cx="5410200" cy="1552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571500</xdr:colOff>
      <xdr:row>183</xdr:row>
      <xdr:rowOff>142875</xdr:rowOff>
    </xdr:from>
    <xdr:to>
      <xdr:col>9</xdr:col>
      <xdr:colOff>523875</xdr:colOff>
      <xdr:row>194</xdr:row>
      <xdr:rowOff>0</xdr:rowOff>
    </xdr:to>
    <xdr:graphicFrame>
      <xdr:nvGraphicFramePr>
        <xdr:cNvPr id="10" name="Chart 23"/>
        <xdr:cNvGraphicFramePr/>
      </xdr:nvGraphicFramePr>
      <xdr:xfrm>
        <a:off x="571500" y="32480250"/>
        <a:ext cx="5419725" cy="163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193</xdr:row>
      <xdr:rowOff>9525</xdr:rowOff>
    </xdr:from>
    <xdr:to>
      <xdr:col>9</xdr:col>
      <xdr:colOff>447675</xdr:colOff>
      <xdr:row>204</xdr:row>
      <xdr:rowOff>9525</xdr:rowOff>
    </xdr:to>
    <xdr:graphicFrame>
      <xdr:nvGraphicFramePr>
        <xdr:cNvPr id="11" name="Chart 24"/>
        <xdr:cNvGraphicFramePr/>
      </xdr:nvGraphicFramePr>
      <xdr:xfrm>
        <a:off x="619125" y="33966150"/>
        <a:ext cx="52959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203</xdr:row>
      <xdr:rowOff>9525</xdr:rowOff>
    </xdr:from>
    <xdr:to>
      <xdr:col>9</xdr:col>
      <xdr:colOff>381000</xdr:colOff>
      <xdr:row>214</xdr:row>
      <xdr:rowOff>28575</xdr:rowOff>
    </xdr:to>
    <xdr:graphicFrame>
      <xdr:nvGraphicFramePr>
        <xdr:cNvPr id="12" name="Chart 25"/>
        <xdr:cNvGraphicFramePr/>
      </xdr:nvGraphicFramePr>
      <xdr:xfrm>
        <a:off x="647700" y="35585400"/>
        <a:ext cx="5200650" cy="1800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2.7109375" style="0" customWidth="1"/>
    <col min="2" max="2" width="78.8515625" style="0" customWidth="1"/>
  </cols>
  <sheetData>
    <row r="1" spans="1:2" ht="39.75" customHeight="1">
      <c r="A1" s="95" t="s">
        <v>493</v>
      </c>
      <c r="B1" s="96"/>
    </row>
    <row r="2" spans="1:2" ht="408.75" customHeight="1">
      <c r="A2" s="37" t="s">
        <v>439</v>
      </c>
      <c r="B2" s="11" t="s">
        <v>492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32">
      <selection activeCell="A1" sqref="A1"/>
    </sheetView>
  </sheetViews>
  <sheetFormatPr defaultColWidth="9.140625" defaultRowHeight="12.75"/>
  <sheetData>
    <row r="1" spans="1:3" ht="12.75">
      <c r="A1" s="3" t="s">
        <v>1</v>
      </c>
      <c r="C1" t="s">
        <v>538</v>
      </c>
    </row>
    <row r="2" spans="1:6" ht="12.75">
      <c r="A2" t="s">
        <v>8</v>
      </c>
      <c r="C2" s="1">
        <v>7</v>
      </c>
      <c r="D2" t="s">
        <v>0</v>
      </c>
      <c r="E2" t="s">
        <v>7</v>
      </c>
      <c r="F2">
        <f>C3/C2</f>
        <v>0.39999999999999997</v>
      </c>
    </row>
    <row r="3" spans="1:6" ht="12.75">
      <c r="A3" t="s">
        <v>9</v>
      </c>
      <c r="C3" s="1">
        <v>2.8</v>
      </c>
      <c r="D3" t="s">
        <v>0</v>
      </c>
      <c r="E3" t="s">
        <v>12</v>
      </c>
      <c r="F3">
        <f>C8/C4</f>
        <v>0.25</v>
      </c>
    </row>
    <row r="4" spans="1:6" ht="12.75">
      <c r="A4" t="s">
        <v>10</v>
      </c>
      <c r="C4" s="1">
        <v>1</v>
      </c>
      <c r="D4" t="s">
        <v>0</v>
      </c>
      <c r="E4" t="s">
        <v>13</v>
      </c>
      <c r="F4" s="5">
        <f>C7/C2</f>
        <v>0.04285714285714286</v>
      </c>
    </row>
    <row r="5" spans="1:4" ht="15.75">
      <c r="A5" t="s">
        <v>11</v>
      </c>
      <c r="C5" s="1">
        <v>0.52</v>
      </c>
      <c r="D5" t="s">
        <v>0</v>
      </c>
    </row>
    <row r="6" spans="1:7" ht="12.75">
      <c r="A6" s="10" t="s">
        <v>519</v>
      </c>
      <c r="C6" s="94">
        <v>2</v>
      </c>
      <c r="D6" t="s">
        <v>520</v>
      </c>
      <c r="E6" t="s">
        <v>521</v>
      </c>
      <c r="G6">
        <v>3</v>
      </c>
    </row>
    <row r="7" spans="1:7" ht="12.75">
      <c r="A7" t="s">
        <v>94</v>
      </c>
      <c r="C7" s="2">
        <v>0.3</v>
      </c>
      <c r="D7" t="s">
        <v>0</v>
      </c>
      <c r="G7">
        <v>4</v>
      </c>
    </row>
    <row r="8" spans="1:7" ht="12.75">
      <c r="A8" t="s">
        <v>95</v>
      </c>
      <c r="C8" s="2">
        <v>0.25</v>
      </c>
      <c r="D8" t="s">
        <v>0</v>
      </c>
      <c r="G8">
        <v>5</v>
      </c>
    </row>
    <row r="9" spans="1:7" ht="15.75">
      <c r="A9" t="s">
        <v>497</v>
      </c>
      <c r="C9" s="2"/>
      <c r="D9" s="4" t="s">
        <v>76</v>
      </c>
      <c r="E9">
        <v>2200</v>
      </c>
      <c r="F9" t="s">
        <v>84</v>
      </c>
      <c r="G9" t="s">
        <v>476</v>
      </c>
    </row>
    <row r="10" spans="1:7" ht="15.75">
      <c r="A10" t="s">
        <v>3</v>
      </c>
      <c r="E10">
        <v>1385</v>
      </c>
      <c r="F10" t="s">
        <v>2</v>
      </c>
      <c r="G10" t="s">
        <v>440</v>
      </c>
    </row>
    <row r="11" spans="5:7" ht="12.75">
      <c r="E11">
        <v>1000</v>
      </c>
      <c r="F11" t="s">
        <v>2</v>
      </c>
      <c r="G11" t="s">
        <v>440</v>
      </c>
    </row>
    <row r="12" spans="5:7" ht="12.75">
      <c r="E12">
        <v>690</v>
      </c>
      <c r="F12" t="s">
        <v>2</v>
      </c>
      <c r="G12" t="s">
        <v>440</v>
      </c>
    </row>
    <row r="13" spans="1:7" ht="14.25">
      <c r="A13" t="s">
        <v>441</v>
      </c>
      <c r="D13" s="4" t="s">
        <v>96</v>
      </c>
      <c r="E13">
        <v>1000</v>
      </c>
      <c r="F13" t="s">
        <v>28</v>
      </c>
      <c r="G13" t="s">
        <v>440</v>
      </c>
    </row>
    <row r="14" ht="12.75">
      <c r="A14" s="3" t="s">
        <v>82</v>
      </c>
    </row>
    <row r="15" spans="1:12" ht="12.75">
      <c r="A15" s="38" t="s">
        <v>83</v>
      </c>
      <c r="B15" s="39"/>
      <c r="C15" s="82"/>
      <c r="D15" s="42">
        <v>3.75</v>
      </c>
      <c r="E15" s="42">
        <v>4</v>
      </c>
      <c r="F15" s="42">
        <v>4.25</v>
      </c>
      <c r="G15" s="42">
        <v>4.5</v>
      </c>
      <c r="H15" s="42">
        <v>4.75</v>
      </c>
      <c r="I15" s="76">
        <v>5</v>
      </c>
      <c r="J15" s="86"/>
      <c r="K15" s="86"/>
      <c r="L15" s="86"/>
    </row>
    <row r="16" spans="1:12" ht="12.75">
      <c r="A16" s="40"/>
      <c r="B16" s="41"/>
      <c r="C16" s="83" t="s">
        <v>34</v>
      </c>
      <c r="D16" s="81">
        <f aca="true" t="shared" si="0" ref="D16:I16">D15*1853/3600</f>
        <v>1.9302083333333333</v>
      </c>
      <c r="E16" s="43">
        <f t="shared" si="0"/>
        <v>2.0588888888888888</v>
      </c>
      <c r="F16" s="43">
        <f t="shared" si="0"/>
        <v>2.1875694444444442</v>
      </c>
      <c r="G16" s="43">
        <f t="shared" si="0"/>
        <v>2.31625</v>
      </c>
      <c r="H16" s="43">
        <f t="shared" si="0"/>
        <v>2.4449305555555556</v>
      </c>
      <c r="I16" s="84">
        <f t="shared" si="0"/>
        <v>2.573611111111111</v>
      </c>
      <c r="J16" s="87"/>
      <c r="K16" s="87"/>
      <c r="L16" s="87"/>
    </row>
    <row r="17" spans="1:12" ht="15.75">
      <c r="A17" s="45" t="s">
        <v>443</v>
      </c>
      <c r="B17" s="46"/>
      <c r="C17" s="47"/>
      <c r="D17">
        <v>227.4</v>
      </c>
      <c r="E17">
        <v>302</v>
      </c>
      <c r="F17">
        <v>393.4</v>
      </c>
      <c r="G17">
        <v>567.5</v>
      </c>
      <c r="H17">
        <v>870.1</v>
      </c>
      <c r="I17">
        <v>1319.5</v>
      </c>
      <c r="J17" s="86"/>
      <c r="K17" s="86"/>
      <c r="L17" s="86"/>
    </row>
    <row r="18" spans="1:12" ht="12.75">
      <c r="A18" s="45" t="s">
        <v>106</v>
      </c>
      <c r="B18" s="46"/>
      <c r="C18" s="47"/>
      <c r="D18" s="44">
        <f aca="true" t="shared" si="1" ref="D18:I18">D16*D17</f>
        <v>438.929375</v>
      </c>
      <c r="E18" s="44">
        <f t="shared" si="1"/>
        <v>621.7844444444444</v>
      </c>
      <c r="F18" s="44">
        <f t="shared" si="1"/>
        <v>860.5898194444443</v>
      </c>
      <c r="G18" s="44">
        <f t="shared" si="1"/>
        <v>1314.4718750000002</v>
      </c>
      <c r="H18" s="44">
        <f t="shared" si="1"/>
        <v>2127.334076388889</v>
      </c>
      <c r="I18" s="85">
        <f t="shared" si="1"/>
        <v>3395.879861111111</v>
      </c>
      <c r="J18" s="88"/>
      <c r="K18" s="88"/>
      <c r="L18" s="88"/>
    </row>
    <row r="19" spans="1:12" ht="12.75">
      <c r="A19" s="79" t="s">
        <v>516</v>
      </c>
      <c r="B19" s="46"/>
      <c r="C19" s="47"/>
      <c r="D19" s="42">
        <f aca="true" t="shared" si="2" ref="D19:I19">2*$E46</f>
        <v>2134</v>
      </c>
      <c r="E19" s="42">
        <f t="shared" si="2"/>
        <v>2134</v>
      </c>
      <c r="F19" s="42">
        <f t="shared" si="2"/>
        <v>2134</v>
      </c>
      <c r="G19" s="42">
        <f t="shared" si="2"/>
        <v>2134</v>
      </c>
      <c r="H19" s="42">
        <f t="shared" si="2"/>
        <v>2134</v>
      </c>
      <c r="I19" s="42">
        <f t="shared" si="2"/>
        <v>2134</v>
      </c>
      <c r="J19" s="86"/>
      <c r="K19" s="86"/>
      <c r="L19" s="86"/>
    </row>
    <row r="20" ht="12.75">
      <c r="A20" s="6" t="s">
        <v>442</v>
      </c>
    </row>
    <row r="21" spans="1:5" ht="12.75">
      <c r="A21" s="6" t="s">
        <v>444</v>
      </c>
      <c r="E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1.25" customHeight="1"/>
    <row r="35" spans="1:7" ht="12.75">
      <c r="A35" t="s">
        <v>6</v>
      </c>
      <c r="D35" s="4" t="s">
        <v>14</v>
      </c>
      <c r="E35">
        <v>0.08</v>
      </c>
      <c r="G35" t="s">
        <v>445</v>
      </c>
    </row>
    <row r="36" spans="1:8" ht="13.5">
      <c r="A36" t="s">
        <v>15</v>
      </c>
      <c r="D36" s="4" t="s">
        <v>14</v>
      </c>
      <c r="E36">
        <f>0.55*C5-0.2</f>
        <v>0.08600000000000002</v>
      </c>
      <c r="G36" s="10" t="s">
        <v>494</v>
      </c>
      <c r="H36" t="s">
        <v>447</v>
      </c>
    </row>
    <row r="37" spans="1:7" ht="12.75">
      <c r="A37" t="s">
        <v>16</v>
      </c>
      <c r="D37" s="4" t="s">
        <v>14</v>
      </c>
      <c r="E37">
        <v>0.08</v>
      </c>
      <c r="G37" t="s">
        <v>446</v>
      </c>
    </row>
    <row r="38" spans="1:7" ht="12.75">
      <c r="A38" t="s">
        <v>17</v>
      </c>
      <c r="D38" s="4" t="s">
        <v>18</v>
      </c>
      <c r="E38">
        <v>0.07</v>
      </c>
      <c r="G38" t="s">
        <v>448</v>
      </c>
    </row>
    <row r="39" spans="1:8" ht="12.75">
      <c r="A39" t="s">
        <v>19</v>
      </c>
      <c r="D39" s="4" t="s">
        <v>18</v>
      </c>
      <c r="E39">
        <f>E37</f>
        <v>0.08</v>
      </c>
      <c r="G39" t="s">
        <v>495</v>
      </c>
      <c r="H39" t="s">
        <v>447</v>
      </c>
    </row>
    <row r="40" spans="1:7" ht="12.75">
      <c r="A40" t="s">
        <v>517</v>
      </c>
      <c r="D40" s="4" t="s">
        <v>18</v>
      </c>
      <c r="E40">
        <v>0.07</v>
      </c>
      <c r="G40" t="s">
        <v>446</v>
      </c>
    </row>
    <row r="41" spans="1:7" ht="15.75">
      <c r="A41" s="6" t="s">
        <v>108</v>
      </c>
      <c r="D41" s="4" t="s">
        <v>109</v>
      </c>
      <c r="E41">
        <f>(1-E39)/(1-E37)</f>
        <v>1</v>
      </c>
      <c r="G41" t="s">
        <v>110</v>
      </c>
    </row>
    <row r="42" spans="1:5" ht="15.75">
      <c r="A42" s="10" t="s">
        <v>114</v>
      </c>
      <c r="D42" s="4" t="s">
        <v>107</v>
      </c>
      <c r="E42">
        <v>0.5</v>
      </c>
    </row>
    <row r="43" spans="1:7" ht="15.75">
      <c r="A43" s="6" t="s">
        <v>66</v>
      </c>
      <c r="D43" s="4" t="s">
        <v>67</v>
      </c>
      <c r="E43">
        <v>1</v>
      </c>
      <c r="G43" t="s">
        <v>496</v>
      </c>
    </row>
    <row r="44" spans="1:7" ht="15.75">
      <c r="A44" s="6" t="s">
        <v>111</v>
      </c>
      <c r="D44" s="4" t="s">
        <v>112</v>
      </c>
      <c r="E44">
        <f>E42*E43*E41</f>
        <v>0.5</v>
      </c>
      <c r="G44" t="s">
        <v>113</v>
      </c>
    </row>
    <row r="45" spans="1:7" ht="15.75">
      <c r="A45" s="6" t="s">
        <v>74</v>
      </c>
      <c r="D45" s="4" t="s">
        <v>75</v>
      </c>
      <c r="E45">
        <v>0.97</v>
      </c>
      <c r="G45" t="s">
        <v>449</v>
      </c>
    </row>
    <row r="46" spans="1:7" ht="15.75">
      <c r="A46" s="6" t="s">
        <v>518</v>
      </c>
      <c r="D46" s="4" t="s">
        <v>116</v>
      </c>
      <c r="E46" s="15">
        <f>E44*E45*E9</f>
        <v>1067</v>
      </c>
      <c r="F46" t="s">
        <v>84</v>
      </c>
      <c r="G46" t="s">
        <v>115</v>
      </c>
    </row>
    <row r="47" spans="1:8" ht="12.75">
      <c r="A47" t="s">
        <v>450</v>
      </c>
      <c r="D47" s="4" t="s">
        <v>4</v>
      </c>
      <c r="E47">
        <v>4.75</v>
      </c>
      <c r="F47" t="s">
        <v>5</v>
      </c>
      <c r="G47">
        <f>1853*E47/3600</f>
        <v>2.4449305555555556</v>
      </c>
      <c r="H47" t="s">
        <v>34</v>
      </c>
    </row>
    <row r="48" spans="1:7" ht="15.75">
      <c r="A48" t="s">
        <v>20</v>
      </c>
      <c r="D48" s="4" t="s">
        <v>21</v>
      </c>
      <c r="E48" s="15">
        <f>2*E46/G47</f>
        <v>872.8264265628994</v>
      </c>
      <c r="F48" t="s">
        <v>22</v>
      </c>
      <c r="G48" t="s">
        <v>117</v>
      </c>
    </row>
    <row r="49" spans="1:7" ht="15.75">
      <c r="A49" s="21" t="s">
        <v>536</v>
      </c>
      <c r="D49" s="4" t="s">
        <v>23</v>
      </c>
      <c r="E49" s="15">
        <f>E48/(1-E39)</f>
        <v>948.7243766988037</v>
      </c>
      <c r="F49" t="s">
        <v>22</v>
      </c>
      <c r="G49" t="s">
        <v>29</v>
      </c>
    </row>
    <row r="50" spans="1:7" ht="12.75">
      <c r="A50" t="s">
        <v>24</v>
      </c>
      <c r="D50" s="4" t="s">
        <v>25</v>
      </c>
      <c r="E50" s="7">
        <v>0.01</v>
      </c>
      <c r="G50" t="s">
        <v>498</v>
      </c>
    </row>
    <row r="51" ht="12.75">
      <c r="A51" t="s">
        <v>451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3" t="s">
        <v>522</v>
      </c>
    </row>
    <row r="2" spans="1:7" ht="15.75">
      <c r="A2" s="6" t="s">
        <v>74</v>
      </c>
      <c r="D2" s="4" t="s">
        <v>75</v>
      </c>
      <c r="E2">
        <f>Adatok!E45</f>
        <v>0.97</v>
      </c>
      <c r="G2" t="s">
        <v>449</v>
      </c>
    </row>
    <row r="3" spans="1:7" ht="15.75">
      <c r="A3" s="6" t="s">
        <v>85</v>
      </c>
      <c r="D3" s="4" t="s">
        <v>72</v>
      </c>
      <c r="E3">
        <f>Adatok!E9*E2</f>
        <v>2134</v>
      </c>
      <c r="F3" s="10" t="s">
        <v>73</v>
      </c>
      <c r="G3" t="s">
        <v>86</v>
      </c>
    </row>
    <row r="4" spans="1:6" ht="12.75">
      <c r="A4" t="s">
        <v>453</v>
      </c>
      <c r="D4" s="4" t="s">
        <v>452</v>
      </c>
      <c r="E4">
        <f>Adatok!E11</f>
        <v>1000</v>
      </c>
      <c r="F4" t="s">
        <v>2</v>
      </c>
    </row>
    <row r="5" spans="1:7" ht="15.75">
      <c r="A5" s="6" t="s">
        <v>87</v>
      </c>
      <c r="D5" s="4" t="s">
        <v>61</v>
      </c>
      <c r="E5" s="7">
        <f>E3*60/(2*PI()*E4)</f>
        <v>20.37819891348628</v>
      </c>
      <c r="F5" t="s">
        <v>62</v>
      </c>
      <c r="G5" t="s">
        <v>88</v>
      </c>
    </row>
    <row r="6" spans="1:7" ht="15.75">
      <c r="A6" s="6" t="s">
        <v>66</v>
      </c>
      <c r="D6" s="4" t="s">
        <v>67</v>
      </c>
      <c r="E6">
        <f>Adatok!E43</f>
        <v>1</v>
      </c>
      <c r="G6" t="s">
        <v>496</v>
      </c>
    </row>
    <row r="7" spans="1:7" ht="15.75">
      <c r="A7" s="6" t="s">
        <v>89</v>
      </c>
      <c r="D7" s="4" t="s">
        <v>90</v>
      </c>
      <c r="E7" s="7">
        <f>E6*E5</f>
        <v>20.37819891348628</v>
      </c>
      <c r="F7" t="s">
        <v>62</v>
      </c>
      <c r="G7" t="s">
        <v>91</v>
      </c>
    </row>
    <row r="8" spans="1:11" ht="15.75">
      <c r="A8" t="s">
        <v>456</v>
      </c>
      <c r="D8" s="4" t="s">
        <v>81</v>
      </c>
      <c r="E8" s="4" t="s">
        <v>455</v>
      </c>
      <c r="G8" t="s">
        <v>93</v>
      </c>
      <c r="H8" t="s">
        <v>92</v>
      </c>
      <c r="K8" s="12"/>
    </row>
    <row r="9" spans="1:11" ht="15.75">
      <c r="A9" t="s">
        <v>31</v>
      </c>
      <c r="D9" s="4" t="s">
        <v>33</v>
      </c>
      <c r="E9">
        <f>Adatok!G47*(1-Adatok!E37)</f>
        <v>2.2493361111111114</v>
      </c>
      <c r="F9" t="s">
        <v>34</v>
      </c>
      <c r="G9" t="s">
        <v>32</v>
      </c>
      <c r="K9" s="12"/>
    </row>
    <row r="10" spans="1:7" ht="15.75">
      <c r="A10" t="s">
        <v>458</v>
      </c>
      <c r="D10" s="4" t="s">
        <v>37</v>
      </c>
      <c r="E10" t="s">
        <v>459</v>
      </c>
      <c r="G10" t="s">
        <v>36</v>
      </c>
    </row>
    <row r="11" spans="1:7" ht="12.75">
      <c r="A11" t="s">
        <v>454</v>
      </c>
      <c r="D11" s="4"/>
      <c r="G11" t="s">
        <v>457</v>
      </c>
    </row>
    <row r="12" spans="1:4" ht="15.75">
      <c r="A12" t="s">
        <v>460</v>
      </c>
      <c r="D12" s="4"/>
    </row>
    <row r="13" spans="1:7" ht="12.75">
      <c r="A13" s="48" t="s">
        <v>43</v>
      </c>
      <c r="B13" s="43">
        <v>0.25</v>
      </c>
      <c r="C13" s="43">
        <v>0.275</v>
      </c>
      <c r="D13" s="43">
        <v>0.3</v>
      </c>
      <c r="E13" s="43">
        <v>0.325</v>
      </c>
      <c r="F13" s="89">
        <v>0.35</v>
      </c>
      <c r="G13" s="42">
        <v>0.375</v>
      </c>
    </row>
    <row r="14" spans="1:7" ht="15.75">
      <c r="A14" s="48" t="s">
        <v>41</v>
      </c>
      <c r="B14" s="56">
        <f>10*$E7*POWER(60*(1+Adatok!$E50),2)/(Adatok!$E13*POWER($E4,2)*POWER(B13,5))</f>
        <v>0.766321485434168</v>
      </c>
      <c r="C14" s="56">
        <f>10*$E7*POWER(60*(1+Adatok!$E50),2)/(Adatok!$E13*POWER($E4,2)*POWER(C13,5))</f>
        <v>0.47582535062444054</v>
      </c>
      <c r="D14" s="56">
        <f>10*$E7*POWER(60*(1+Adatok!$E50),2)/(Adatok!$E13*POWER($E4,2)*POWER(D13,5))</f>
        <v>0.3079674179503311</v>
      </c>
      <c r="E14" s="56">
        <f>10*$E7*POWER(60*(1+Adatok!$E50),2)/(Adatok!$E13*POWER($E4,2)*POWER(E13,5))</f>
        <v>0.2063926563210639</v>
      </c>
      <c r="F14" s="56">
        <f>10*$E7*POWER(60*(1+Adatok!$E50),2)/(Adatok!$E13*POWER($E4,2)*POWER(F13,5))</f>
        <v>0.14248555018633757</v>
      </c>
      <c r="G14" s="56">
        <f>10*$E7*POWER(60*(1+Adatok!$E50),2)/(Adatok!$E13*POWER($E4,2)*POWER(G13,5))</f>
        <v>0.10091476351396451</v>
      </c>
    </row>
    <row r="15" spans="1:7" ht="12.75">
      <c r="A15" s="48" t="s">
        <v>39</v>
      </c>
      <c r="B15" s="56">
        <f>$E9*60*(1+Adatok!$E50)/($E4*B13)</f>
        <v>0.5452390733333334</v>
      </c>
      <c r="C15" s="56">
        <f>$E9*60*(1+Adatok!$E50)/($E4*C13)</f>
        <v>0.4956718848484849</v>
      </c>
      <c r="D15" s="56">
        <f>$E9*60*(1+Adatok!$E50)/($E4*D13)</f>
        <v>0.45436589444444453</v>
      </c>
      <c r="E15" s="56">
        <f>$E9*60*(1+Adatok!$E50)/($E4*E13)</f>
        <v>0.41941467179487185</v>
      </c>
      <c r="F15" s="56">
        <f>$E9*60*(1+Adatok!$E50)/($E4*F13)</f>
        <v>0.389456480952381</v>
      </c>
      <c r="G15" s="56">
        <f>$E9*60*(1+Adatok!$E50)/($E4*G13)</f>
        <v>0.3634927155555556</v>
      </c>
    </row>
    <row r="16" spans="1:7" ht="12.75">
      <c r="A16" s="48" t="s">
        <v>40</v>
      </c>
      <c r="B16" s="43">
        <v>1.33</v>
      </c>
      <c r="C16" s="43">
        <v>1.07</v>
      </c>
      <c r="D16" s="43">
        <v>0.88</v>
      </c>
      <c r="E16" s="43">
        <v>0.74</v>
      </c>
      <c r="F16" s="43">
        <v>0.64</v>
      </c>
      <c r="G16" s="43">
        <v>0.55</v>
      </c>
    </row>
    <row r="17" spans="1:7" ht="15.75">
      <c r="A17" s="48" t="s">
        <v>38</v>
      </c>
      <c r="B17" s="43">
        <v>0.37</v>
      </c>
      <c r="C17" s="43">
        <v>0.28</v>
      </c>
      <c r="D17" s="43">
        <v>0.21</v>
      </c>
      <c r="E17" s="43">
        <v>0.16</v>
      </c>
      <c r="F17" s="43">
        <v>0.12</v>
      </c>
      <c r="G17" s="43">
        <v>0.09</v>
      </c>
    </row>
    <row r="18" spans="1:7" ht="15.75">
      <c r="A18" s="48" t="s">
        <v>42</v>
      </c>
      <c r="B18" s="43">
        <f aca="true" t="shared" si="0" ref="B18:G18">B15*10*B17/(2*PI()*B14)</f>
        <v>0.4189843724179478</v>
      </c>
      <c r="C18" s="43">
        <f t="shared" si="0"/>
        <v>0.46422109595673766</v>
      </c>
      <c r="D18" s="43">
        <f t="shared" si="0"/>
        <v>0.49310610506926994</v>
      </c>
      <c r="E18" s="43">
        <f t="shared" si="0"/>
        <v>0.5174751420812544</v>
      </c>
      <c r="F18" s="43">
        <f t="shared" si="0"/>
        <v>0.5220228211072825</v>
      </c>
      <c r="G18" s="43">
        <f t="shared" si="0"/>
        <v>0.515945282926831</v>
      </c>
    </row>
    <row r="19" spans="7:9" ht="15.75">
      <c r="G19" s="4" t="s">
        <v>98</v>
      </c>
      <c r="H19">
        <v>0.35</v>
      </c>
      <c r="I19" t="s">
        <v>0</v>
      </c>
    </row>
    <row r="37" spans="1:7" ht="15.75">
      <c r="A37" t="s">
        <v>44</v>
      </c>
      <c r="D37" s="4" t="s">
        <v>45</v>
      </c>
      <c r="E37" s="4" t="s">
        <v>46</v>
      </c>
      <c r="F37">
        <f>0.95*H19</f>
        <v>0.33249999999999996</v>
      </c>
      <c r="G37" t="s">
        <v>0</v>
      </c>
    </row>
    <row r="38" ht="15.75">
      <c r="A38" t="s">
        <v>461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1" max="11" width="9.421875" style="0" customWidth="1"/>
  </cols>
  <sheetData>
    <row r="1" ht="14.25">
      <c r="A1" s="3" t="s">
        <v>472</v>
      </c>
    </row>
    <row r="2" spans="1:7" s="6" customFormat="1" ht="15.75">
      <c r="A2" s="6" t="s">
        <v>524</v>
      </c>
      <c r="D2" s="4" t="s">
        <v>23</v>
      </c>
      <c r="E2" s="16">
        <f>Adatok!E49/Adatok!C6</f>
        <v>474.36218834940183</v>
      </c>
      <c r="F2" s="6" t="s">
        <v>22</v>
      </c>
      <c r="G2" s="6" t="s">
        <v>526</v>
      </c>
    </row>
    <row r="3" spans="1:7" ht="15.75">
      <c r="A3" t="s">
        <v>462</v>
      </c>
      <c r="D3" s="4" t="s">
        <v>27</v>
      </c>
      <c r="E3" t="s">
        <v>465</v>
      </c>
      <c r="G3" t="s">
        <v>30</v>
      </c>
    </row>
    <row r="4" spans="1:12" ht="15.75">
      <c r="A4" t="s">
        <v>31</v>
      </c>
      <c r="D4" s="4" t="s">
        <v>33</v>
      </c>
      <c r="E4" s="14">
        <f>Adatok!G47*(1-Adatok!E37)</f>
        <v>2.2493361111111114</v>
      </c>
      <c r="F4" t="s">
        <v>34</v>
      </c>
      <c r="G4" t="s">
        <v>32</v>
      </c>
      <c r="K4" s="4"/>
      <c r="L4" s="4"/>
    </row>
    <row r="5" spans="1:11" ht="15.75">
      <c r="A5" t="s">
        <v>464</v>
      </c>
      <c r="D5" s="4" t="s">
        <v>37</v>
      </c>
      <c r="E5" t="s">
        <v>466</v>
      </c>
      <c r="G5" t="s">
        <v>36</v>
      </c>
      <c r="K5" s="7"/>
    </row>
    <row r="6" spans="1:11" ht="15.75">
      <c r="A6" t="s">
        <v>463</v>
      </c>
      <c r="D6" s="4"/>
      <c r="K6" s="7"/>
    </row>
    <row r="7" spans="1:7" ht="15.75">
      <c r="A7" s="48" t="s">
        <v>523</v>
      </c>
      <c r="B7" s="42">
        <v>690</v>
      </c>
      <c r="C7" s="42">
        <v>1000</v>
      </c>
      <c r="D7" s="42">
        <v>1385</v>
      </c>
      <c r="E7" s="42"/>
      <c r="F7" s="42"/>
      <c r="G7" s="42"/>
    </row>
    <row r="8" spans="1:7" ht="15.75">
      <c r="A8" s="48" t="s">
        <v>38</v>
      </c>
      <c r="B8" s="56">
        <f>$E2*POWER(60*(1+Adatok!$E50),2)/(Adatok!$E13*POWER(B7,2)*POWER(Adatok!$C7,4))</f>
        <v>0.4517229044647248</v>
      </c>
      <c r="C8" s="56">
        <f>$E2*POWER(60*(1+Adatok!$E50),2)/(Adatok!$E13*POWER(C7,2)*POWER(Adatok!$C7,4))</f>
        <v>0.2150652748156555</v>
      </c>
      <c r="D8" s="56">
        <f>$E2*POWER(60*(1+Adatok!$E50),2)/(Adatok!$E13*POWER(D7,2)*POWER(Adatok!$C7,4))</f>
        <v>0.11211681362491652</v>
      </c>
      <c r="E8" s="42"/>
      <c r="F8" s="42"/>
      <c r="G8" s="42"/>
    </row>
    <row r="9" spans="1:7" ht="12.75">
      <c r="A9" s="48" t="s">
        <v>39</v>
      </c>
      <c r="B9" s="56">
        <f>$E4*60*(1+Adatok!$E50)/(B7*Adatok!$C7)</f>
        <v>0.6585012962962964</v>
      </c>
      <c r="C9" s="56">
        <f>$E4*60*(1+Adatok!$E50)/(C7*Adatok!$C7)</f>
        <v>0.45436589444444453</v>
      </c>
      <c r="D9" s="56">
        <f>$E4*60*(1+Adatok!$E50)/(D7*Adatok!$C7)</f>
        <v>0.3280620176494184</v>
      </c>
      <c r="E9" s="42"/>
      <c r="F9" s="42"/>
      <c r="G9" s="42"/>
    </row>
    <row r="10" spans="1:7" ht="12.75">
      <c r="A10" s="48" t="s">
        <v>40</v>
      </c>
      <c r="B10" s="43">
        <v>1.6</v>
      </c>
      <c r="C10" s="90">
        <v>0.89</v>
      </c>
      <c r="D10" s="43">
        <v>0.59</v>
      </c>
      <c r="E10" s="42"/>
      <c r="F10" s="42"/>
      <c r="G10" s="42"/>
    </row>
    <row r="11" spans="1:7" ht="15.75">
      <c r="A11" s="48" t="s">
        <v>41</v>
      </c>
      <c r="B11" s="43">
        <v>1</v>
      </c>
      <c r="C11" s="90">
        <v>0.32</v>
      </c>
      <c r="D11" s="43">
        <v>0.13</v>
      </c>
      <c r="E11" s="42"/>
      <c r="F11" s="42"/>
      <c r="G11" s="42"/>
    </row>
    <row r="12" spans="1:7" ht="15.75">
      <c r="A12" s="48" t="s">
        <v>42</v>
      </c>
      <c r="B12" s="43">
        <f>B9*10*B8/(2*PI()*B11)</f>
        <v>0.473422481773459</v>
      </c>
      <c r="C12" s="43">
        <f>C9*10*C8/(2*PI()*C11)</f>
        <v>0.4860110814528664</v>
      </c>
      <c r="D12" s="43">
        <f>D9*10*D8/(2*PI()*D11)</f>
        <v>0.45030158690351857</v>
      </c>
      <c r="E12" s="42"/>
      <c r="F12" s="42"/>
      <c r="G12" s="42"/>
    </row>
    <row r="13" ht="12.75">
      <c r="A13" t="s">
        <v>467</v>
      </c>
    </row>
    <row r="14" ht="12.75">
      <c r="A14" s="4"/>
    </row>
    <row r="29" spans="1:3" ht="15.75">
      <c r="A29" s="4" t="s">
        <v>477</v>
      </c>
      <c r="B29">
        <v>1000</v>
      </c>
      <c r="C29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1" max="11" width="9.421875" style="0" customWidth="1"/>
  </cols>
  <sheetData>
    <row r="1" ht="14.25">
      <c r="A1" s="3" t="s">
        <v>525</v>
      </c>
    </row>
    <row r="2" spans="1:7" s="6" customFormat="1" ht="15.75">
      <c r="A2" s="6" t="s">
        <v>60</v>
      </c>
      <c r="D2" s="4" t="s">
        <v>23</v>
      </c>
      <c r="E2" s="91">
        <f>Adatok!E49/Adatok!C6</f>
        <v>474.36218834940183</v>
      </c>
      <c r="F2" s="6" t="s">
        <v>22</v>
      </c>
      <c r="G2" s="6" t="s">
        <v>526</v>
      </c>
    </row>
    <row r="3" spans="1:6" s="6" customFormat="1" ht="15.75">
      <c r="A3" s="6" t="s">
        <v>468</v>
      </c>
      <c r="D3" s="4" t="s">
        <v>59</v>
      </c>
      <c r="E3">
        <v>1000</v>
      </c>
      <c r="F3" t="s">
        <v>2</v>
      </c>
    </row>
    <row r="4" spans="1:7" ht="15.75">
      <c r="A4" t="s">
        <v>470</v>
      </c>
      <c r="D4" s="4" t="s">
        <v>27</v>
      </c>
      <c r="E4" t="s">
        <v>469</v>
      </c>
      <c r="G4" t="s">
        <v>30</v>
      </c>
    </row>
    <row r="5" spans="1:12" ht="15.75">
      <c r="A5" t="s">
        <v>31</v>
      </c>
      <c r="D5" s="4" t="s">
        <v>33</v>
      </c>
      <c r="E5" s="14">
        <f>Adatok!G47*(1-Adatok!E37)</f>
        <v>2.2493361111111114</v>
      </c>
      <c r="F5" t="s">
        <v>34</v>
      </c>
      <c r="G5" t="s">
        <v>32</v>
      </c>
      <c r="K5" s="4"/>
      <c r="L5" s="4"/>
    </row>
    <row r="6" spans="1:7" ht="15.75">
      <c r="A6" t="s">
        <v>458</v>
      </c>
      <c r="D6" s="4" t="s">
        <v>37</v>
      </c>
      <c r="E6" t="s">
        <v>459</v>
      </c>
      <c r="G6" t="s">
        <v>36</v>
      </c>
    </row>
    <row r="7" spans="1:7" ht="12.75">
      <c r="A7" s="48" t="s">
        <v>527</v>
      </c>
      <c r="B7" s="43">
        <v>0.25</v>
      </c>
      <c r="C7" s="43">
        <v>0.275</v>
      </c>
      <c r="D7" s="43">
        <v>0.3</v>
      </c>
      <c r="E7" s="43">
        <v>0.325</v>
      </c>
      <c r="F7" s="89">
        <v>0.35</v>
      </c>
      <c r="G7" s="42">
        <v>0.375</v>
      </c>
    </row>
    <row r="8" spans="1:7" ht="15.75">
      <c r="A8" s="48" t="s">
        <v>38</v>
      </c>
      <c r="B8" s="56">
        <f>$E2*POWER(60*(1+Adatok!$E50),2)/(Adatok!$E13*POWER($E3,2)*POWER(B7,4))</f>
        <v>0.4459593538577432</v>
      </c>
      <c r="C8" s="56">
        <f>$E2*POWER(60*(1+Adatok!$E50),2)/(Adatok!$E13*POWER($E3,2)*POWER(C7,4))</f>
        <v>0.30459623923075135</v>
      </c>
      <c r="D8" s="56">
        <f>$E2*POWER(60*(1+Adatok!$E50),2)/(Adatok!$E13*POWER($E3,2)*POWER(D7,4))</f>
        <v>0.2150652748156555</v>
      </c>
      <c r="E8" s="56">
        <f>$E2*POWER(60*(1+Adatok!$E50),2)/(Adatok!$E13*POWER($E3,2)*POWER(E7,4))</f>
        <v>0.1561427659597854</v>
      </c>
      <c r="F8" s="56">
        <f>$E2*POWER(60*(1+Adatok!$E50),2)/(Adatok!$E13*POWER($E3,2)*POWER(F7,4))</f>
        <v>0.1160868788675925</v>
      </c>
      <c r="G8" s="56">
        <f>$E2*POWER(60*(1+Adatok!$E50),2)/(Adatok!$E13*POWER($E3,2)*POWER(G7,4))</f>
        <v>0.08809073656449248</v>
      </c>
    </row>
    <row r="9" spans="1:7" ht="12.75">
      <c r="A9" s="48" t="s">
        <v>39</v>
      </c>
      <c r="B9" s="56">
        <f>$E5*60*(1+Adatok!$E50)/($E3*B7)</f>
        <v>0.5452390733333334</v>
      </c>
      <c r="C9" s="56">
        <f>$E5*60*(1+Adatok!$E50)/($E3*C7)</f>
        <v>0.4956718848484849</v>
      </c>
      <c r="D9" s="56">
        <f>$E5*60*(1+Adatok!$E50)/($E3*D7)</f>
        <v>0.45436589444444453</v>
      </c>
      <c r="E9" s="56">
        <f>$E5*60*(1+Adatok!$E50)/($E3*E7)</f>
        <v>0.41941467179487185</v>
      </c>
      <c r="F9" s="56">
        <f>$E5*60*(1+Adatok!$E50)/($E3*F7)</f>
        <v>0.389456480952381</v>
      </c>
      <c r="G9" s="56">
        <f>$E5*60*(1+Adatok!$E50)/($E3*G7)</f>
        <v>0.3634927155555556</v>
      </c>
    </row>
    <row r="10" spans="1:7" ht="12.75">
      <c r="A10" s="48" t="s">
        <v>40</v>
      </c>
      <c r="B10" s="43">
        <v>1.5</v>
      </c>
      <c r="C10" s="92">
        <v>1.1</v>
      </c>
      <c r="D10" s="43">
        <v>0.9</v>
      </c>
      <c r="E10" s="43">
        <v>0.75</v>
      </c>
      <c r="F10" s="43">
        <v>0.62</v>
      </c>
      <c r="G10" s="43">
        <v>0.57</v>
      </c>
    </row>
    <row r="11" spans="1:7" ht="15.75">
      <c r="A11" s="48" t="s">
        <v>41</v>
      </c>
      <c r="B11" s="43">
        <v>0.98</v>
      </c>
      <c r="C11" s="92">
        <v>0.51</v>
      </c>
      <c r="D11" s="43">
        <v>0.316</v>
      </c>
      <c r="E11" s="43">
        <v>0.205</v>
      </c>
      <c r="F11" s="43">
        <v>0.137</v>
      </c>
      <c r="G11" s="43">
        <v>0.105</v>
      </c>
    </row>
    <row r="12" spans="1:7" ht="15.75">
      <c r="A12" s="48" t="s">
        <v>42</v>
      </c>
      <c r="B12" s="43">
        <f aca="true" t="shared" si="0" ref="B12:G12">B9*10*B8/(2*PI()*B11)</f>
        <v>0.3948901532084234</v>
      </c>
      <c r="C12" s="43">
        <f t="shared" si="0"/>
        <v>0.4711603962065539</v>
      </c>
      <c r="D12" s="43">
        <f t="shared" si="0"/>
        <v>0.49216312045859895</v>
      </c>
      <c r="E12" s="43">
        <f t="shared" si="0"/>
        <v>0.5084306899616454</v>
      </c>
      <c r="F12" s="43">
        <f t="shared" si="0"/>
        <v>0.5252204587160619</v>
      </c>
      <c r="G12" s="43">
        <f t="shared" si="0"/>
        <v>0.4853519578528771</v>
      </c>
    </row>
    <row r="13" spans="1:7" ht="12.75">
      <c r="A13" t="s">
        <v>454</v>
      </c>
      <c r="G13" t="s">
        <v>457</v>
      </c>
    </row>
    <row r="30" spans="1:6" ht="15.75">
      <c r="A30" t="s">
        <v>97</v>
      </c>
      <c r="D30" s="4" t="s">
        <v>98</v>
      </c>
      <c r="E30">
        <v>0.35</v>
      </c>
      <c r="F30" t="s">
        <v>0</v>
      </c>
    </row>
    <row r="31" spans="1:7" ht="15.75">
      <c r="A31" t="s">
        <v>44</v>
      </c>
      <c r="D31" s="4" t="s">
        <v>45</v>
      </c>
      <c r="E31" s="4" t="s">
        <v>46</v>
      </c>
      <c r="F31">
        <f>0.95*E30</f>
        <v>0.33249999999999996</v>
      </c>
      <c r="G31" t="s">
        <v>0</v>
      </c>
    </row>
    <row r="32" ht="15.75">
      <c r="A32" t="s">
        <v>471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4.25">
      <c r="A1" s="3" t="s">
        <v>473</v>
      </c>
    </row>
    <row r="2" spans="1:6" ht="12.75">
      <c r="A2" t="s">
        <v>51</v>
      </c>
      <c r="D2" s="4" t="s">
        <v>52</v>
      </c>
      <c r="E2" s="14">
        <f>Adatok!C7</f>
        <v>0.3</v>
      </c>
      <c r="F2" t="s">
        <v>0</v>
      </c>
    </row>
    <row r="3" spans="1:6" ht="15.75">
      <c r="A3" t="s">
        <v>58</v>
      </c>
      <c r="D3" s="4" t="s">
        <v>59</v>
      </c>
      <c r="E3">
        <v>1000</v>
      </c>
      <c r="F3" t="s">
        <v>2</v>
      </c>
    </row>
    <row r="4" spans="1:7" ht="15.75">
      <c r="A4" t="s">
        <v>524</v>
      </c>
      <c r="D4" s="4" t="s">
        <v>23</v>
      </c>
      <c r="E4" s="7">
        <f>Adatok!E49/Adatok!C6</f>
        <v>474.36218834940183</v>
      </c>
      <c r="F4" t="s">
        <v>22</v>
      </c>
      <c r="G4" s="6" t="s">
        <v>526</v>
      </c>
    </row>
    <row r="5" spans="1:7" ht="15.75">
      <c r="A5" t="s">
        <v>26</v>
      </c>
      <c r="D5" s="4" t="s">
        <v>27</v>
      </c>
      <c r="E5" s="14">
        <f>E4*POWER(60*(1+Adatok!E50),2)/(Adatok!E13*POWER(E3,2)*POWER(E2,4))</f>
        <v>0.2150652748156555</v>
      </c>
      <c r="G5" s="6" t="s">
        <v>79</v>
      </c>
    </row>
    <row r="6" spans="1:7" ht="15.75">
      <c r="A6" t="s">
        <v>35</v>
      </c>
      <c r="D6" s="4" t="s">
        <v>37</v>
      </c>
      <c r="E6" s="14">
        <f>Adatok!G47*(1-Adatok!E37)*60*(1+Adatok!E50)/(E3*E2)</f>
        <v>0.45436589444444453</v>
      </c>
      <c r="G6" t="s">
        <v>36</v>
      </c>
    </row>
    <row r="7" spans="1:7" ht="15.75">
      <c r="A7" t="s">
        <v>56</v>
      </c>
      <c r="D7" s="4" t="s">
        <v>57</v>
      </c>
      <c r="E7" s="14">
        <v>0.9</v>
      </c>
      <c r="G7" t="s">
        <v>78</v>
      </c>
    </row>
    <row r="8" spans="1:7" ht="12.75">
      <c r="A8" t="s">
        <v>53</v>
      </c>
      <c r="D8" s="4" t="s">
        <v>54</v>
      </c>
      <c r="E8" s="14">
        <f>E7*E2</f>
        <v>0.27</v>
      </c>
      <c r="F8" t="s">
        <v>0</v>
      </c>
      <c r="G8" t="s">
        <v>55</v>
      </c>
    </row>
    <row r="9" spans="1:7" ht="15.75">
      <c r="A9" t="s">
        <v>49</v>
      </c>
      <c r="D9" s="4" t="s">
        <v>50</v>
      </c>
      <c r="E9">
        <v>0.55</v>
      </c>
      <c r="G9" t="s">
        <v>528</v>
      </c>
    </row>
    <row r="10" spans="1:4" ht="13.5" customHeight="1">
      <c r="A10" s="13" t="s">
        <v>103</v>
      </c>
      <c r="D10" s="4"/>
    </row>
    <row r="11" spans="1:8" ht="12.75">
      <c r="A11" s="10" t="s">
        <v>100</v>
      </c>
      <c r="D11">
        <v>1</v>
      </c>
      <c r="E11">
        <v>2</v>
      </c>
      <c r="F11">
        <v>3</v>
      </c>
      <c r="G11">
        <v>4</v>
      </c>
      <c r="H11">
        <v>5</v>
      </c>
    </row>
    <row r="12" spans="1:9" ht="12.75">
      <c r="A12" t="s">
        <v>101</v>
      </c>
      <c r="D12" s="5">
        <f>(1853*D11/3600)*(1-Adatok!$E37)*60*(1+Adatok!$E50)/($E3*$E2)</f>
        <v>0.09565597777777778</v>
      </c>
      <c r="E12" s="5">
        <f>(1853*E11/3600)*(1-Adatok!$E37)*60*(1+Adatok!$E50)/($E3*$E2)</f>
        <v>0.19131195555555555</v>
      </c>
      <c r="F12" s="5">
        <f>(1853*F11/3600)*(1-Adatok!$E37)*60*(1+Adatok!$E50)/($E3*$E2)</f>
        <v>0.2869679333333333</v>
      </c>
      <c r="G12" s="5">
        <f>(1853*G11/3600)*(1-Adatok!$E37)*60*(1+Adatok!$E50)/($E3*$E2)</f>
        <v>0.3826239111111111</v>
      </c>
      <c r="H12" s="5">
        <f>(1853*H11/3600)*(1-Adatok!$E37)*60*(1+Adatok!$E50)/($E3*$E2)</f>
        <v>0.478279888888889</v>
      </c>
      <c r="I12" s="5"/>
    </row>
    <row r="13" spans="1:9" ht="15.75">
      <c r="A13" t="s">
        <v>500</v>
      </c>
      <c r="D13" s="14">
        <v>0.34</v>
      </c>
      <c r="E13" s="14">
        <v>0.32</v>
      </c>
      <c r="F13" s="93">
        <v>0.285</v>
      </c>
      <c r="G13" s="93">
        <v>0.245</v>
      </c>
      <c r="H13" s="93">
        <v>0.205</v>
      </c>
      <c r="I13" s="93"/>
    </row>
    <row r="14" spans="1:9" ht="12.75">
      <c r="A14" t="s">
        <v>104</v>
      </c>
      <c r="D14" s="15">
        <f>(D13*Adatok!$E13*POWER($E3/(60*(1+Adatok!$E50)),2)*POWER($E2,4))</f>
        <v>749.9264777962942</v>
      </c>
      <c r="E14" s="15">
        <f>(E13*Adatok!$E13*POWER($E3/(60*(1+Adatok!$E50)),2)*POWER($E2,4))</f>
        <v>705.8131555729827</v>
      </c>
      <c r="F14" s="15">
        <f>(F13*Adatok!$E13*POWER($E3/(60*(1+Adatok!$E50)),2)*POWER($E2,4))</f>
        <v>628.6148416821878</v>
      </c>
      <c r="G14" s="15">
        <f>(G13*Adatok!$E13*POWER($E3/(60*(1+Adatok!$E50)),2)*POWER($E2,4))</f>
        <v>540.3881972355649</v>
      </c>
      <c r="H14" s="15">
        <f>(H13*Adatok!$E13*POWER($E3/(60*(1+Adatok!$E50)),2)*POWER($E2,4))</f>
        <v>452.1615527889421</v>
      </c>
      <c r="I14" s="15"/>
    </row>
    <row r="15" spans="1:9" ht="12.75">
      <c r="A15" s="80" t="s">
        <v>501</v>
      </c>
      <c r="C15" s="21" t="s">
        <v>499</v>
      </c>
      <c r="D15" s="15">
        <f>Adatok!$C6*D14*(1-Adatok!$E40)</f>
        <v>1394.863248701107</v>
      </c>
      <c r="E15" s="15">
        <f>Adatok!$C6*E14*(1-Adatok!$E40)</f>
        <v>1312.8124693657478</v>
      </c>
      <c r="F15" s="15">
        <f>Adatok!$C6*F14*(1-Adatok!$E40)</f>
        <v>1169.2236055288693</v>
      </c>
      <c r="G15" s="15">
        <f>Adatok!$C6*G14*(1-Adatok!$E40)</f>
        <v>1005.1220468581507</v>
      </c>
      <c r="H15" s="15">
        <f>Adatok!$C6*H14*(1-Adatok!$E40)</f>
        <v>841.0204881874323</v>
      </c>
      <c r="I15" s="15"/>
    </row>
    <row r="16" spans="1:9" ht="15.75">
      <c r="A16" t="s">
        <v>502</v>
      </c>
      <c r="B16" s="4"/>
      <c r="C16" t="s">
        <v>105</v>
      </c>
      <c r="D16" s="15">
        <v>19.5</v>
      </c>
      <c r="E16" s="15">
        <v>78</v>
      </c>
      <c r="F16" s="15">
        <v>175.5</v>
      </c>
      <c r="G16" s="15">
        <v>302</v>
      </c>
      <c r="H16" s="15">
        <v>1319.5</v>
      </c>
      <c r="I16" s="15"/>
    </row>
    <row r="17" spans="1:7" ht="12.75">
      <c r="A17" t="s">
        <v>529</v>
      </c>
      <c r="D17" s="4"/>
      <c r="G17" s="6"/>
    </row>
    <row r="18" spans="4:7" ht="12.75">
      <c r="D18" s="4"/>
      <c r="G18" s="6"/>
    </row>
    <row r="19" spans="4:7" ht="12.75">
      <c r="D19" s="4"/>
      <c r="G19" s="6"/>
    </row>
    <row r="20" spans="4:7" ht="12.75">
      <c r="D20" s="4"/>
      <c r="G20" s="6"/>
    </row>
    <row r="21" spans="4:7" ht="12.75">
      <c r="D21" s="4"/>
      <c r="G21" s="6"/>
    </row>
    <row r="22" spans="4:7" ht="12.75">
      <c r="D22" s="4"/>
      <c r="G22" s="6"/>
    </row>
    <row r="23" spans="4:7" ht="12.75">
      <c r="D23" s="4"/>
      <c r="G23" s="6"/>
    </row>
    <row r="24" spans="4:7" ht="12.75">
      <c r="D24" s="4"/>
      <c r="G24" s="6"/>
    </row>
    <row r="25" spans="4:7" ht="12.75">
      <c r="D25" s="4"/>
      <c r="G25" s="6"/>
    </row>
    <row r="26" spans="4:7" ht="12.75">
      <c r="D26" s="4"/>
      <c r="G26" s="6"/>
    </row>
    <row r="27" spans="4:7" ht="12.75">
      <c r="D27" s="4"/>
      <c r="G27" s="6"/>
    </row>
    <row r="28" spans="4:7" ht="12.75">
      <c r="D28" s="4"/>
      <c r="G28" s="6"/>
    </row>
    <row r="29" spans="4:7" ht="12.75">
      <c r="D29" s="4"/>
      <c r="G29" s="6"/>
    </row>
    <row r="30" spans="4:7" ht="12.75">
      <c r="D30" s="4"/>
      <c r="G30" s="6"/>
    </row>
    <row r="31" spans="4:7" ht="12.75">
      <c r="D31" s="4"/>
      <c r="G31" s="6"/>
    </row>
    <row r="32" spans="1:8" ht="12.75">
      <c r="A32" t="s">
        <v>121</v>
      </c>
      <c r="D32" s="4" t="s">
        <v>4</v>
      </c>
      <c r="E32">
        <v>4.75</v>
      </c>
      <c r="F32" t="s">
        <v>5</v>
      </c>
      <c r="G32" s="93">
        <f>E32*1853/3600</f>
        <v>2.4449305555555556</v>
      </c>
      <c r="H32" t="s">
        <v>34</v>
      </c>
    </row>
    <row r="33" spans="1:7" ht="15.75">
      <c r="A33" t="s">
        <v>120</v>
      </c>
      <c r="D33" s="4" t="s">
        <v>122</v>
      </c>
      <c r="E33">
        <v>474.3</v>
      </c>
      <c r="F33" t="s">
        <v>22</v>
      </c>
      <c r="G33" s="6"/>
    </row>
    <row r="34" spans="1:7" ht="12.75">
      <c r="A34" t="s">
        <v>118</v>
      </c>
      <c r="D34" s="4" t="s">
        <v>37</v>
      </c>
      <c r="E34" s="14">
        <f>G32*(1-Adatok!E37)*60*(1+Adatok!E50)/(E3*E2)</f>
        <v>0.45436589444444453</v>
      </c>
      <c r="G34" s="6" t="s">
        <v>119</v>
      </c>
    </row>
    <row r="35" spans="1:7" ht="15.75">
      <c r="A35" s="10" t="s">
        <v>102</v>
      </c>
      <c r="D35" s="4" t="s">
        <v>81</v>
      </c>
      <c r="E35">
        <v>0.031</v>
      </c>
      <c r="G35" t="s">
        <v>80</v>
      </c>
    </row>
    <row r="36" spans="1:7" ht="15.75">
      <c r="A36" t="s">
        <v>63</v>
      </c>
      <c r="D36" s="4" t="s">
        <v>64</v>
      </c>
      <c r="E36" s="14">
        <f>E35*Adatok!E13*POWER(E3/(60*(1+Adatok!E50)),2)*POWER(E2,5)</f>
        <v>20.51269483383981</v>
      </c>
      <c r="F36" t="s">
        <v>62</v>
      </c>
      <c r="G36" t="s">
        <v>65</v>
      </c>
    </row>
    <row r="37" spans="1:7" ht="15.75">
      <c r="A37" t="s">
        <v>66</v>
      </c>
      <c r="D37" s="4" t="s">
        <v>67</v>
      </c>
      <c r="E37">
        <f>Adatok!E43</f>
        <v>1</v>
      </c>
      <c r="G37" t="s">
        <v>496</v>
      </c>
    </row>
    <row r="38" spans="1:7" ht="15.75">
      <c r="A38" t="s">
        <v>68</v>
      </c>
      <c r="D38" s="4" t="s">
        <v>61</v>
      </c>
      <c r="E38" s="14">
        <f>E36/E37</f>
        <v>20.51269483383981</v>
      </c>
      <c r="F38" t="s">
        <v>62</v>
      </c>
      <c r="G38" t="s">
        <v>69</v>
      </c>
    </row>
    <row r="39" spans="1:7" ht="15.75">
      <c r="A39" t="s">
        <v>70</v>
      </c>
      <c r="D39" s="4" t="s">
        <v>72</v>
      </c>
      <c r="E39" s="15">
        <f>(E3/(60*(1+Adatok!E50)))*2*PI()*E38</f>
        <v>2126.8162176673413</v>
      </c>
      <c r="F39" s="10" t="s">
        <v>73</v>
      </c>
      <c r="G39" t="s">
        <v>71</v>
      </c>
    </row>
    <row r="40" spans="1:7" ht="15.75">
      <c r="A40" t="s">
        <v>74</v>
      </c>
      <c r="D40" s="4" t="s">
        <v>75</v>
      </c>
      <c r="E40">
        <f>Adatok!E45</f>
        <v>0.97</v>
      </c>
      <c r="G40" t="s">
        <v>449</v>
      </c>
    </row>
    <row r="41" spans="1:7" ht="15.75">
      <c r="A41" t="s">
        <v>503</v>
      </c>
      <c r="D41" s="4" t="s">
        <v>76</v>
      </c>
      <c r="E41" s="15">
        <f>E39/E40</f>
        <v>2192.5940388323106</v>
      </c>
      <c r="F41" s="10" t="s">
        <v>73</v>
      </c>
      <c r="G41" t="s">
        <v>77</v>
      </c>
    </row>
    <row r="42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9"/>
  <sheetViews>
    <sheetView workbookViewId="0" topLeftCell="A1">
      <selection activeCell="A1" sqref="A1"/>
    </sheetView>
  </sheetViews>
  <sheetFormatPr defaultColWidth="9.140625" defaultRowHeight="12.75"/>
  <cols>
    <col min="3" max="3" width="9.28125" style="0" customWidth="1"/>
    <col min="9" max="9" width="8.8515625" style="0" customWidth="1"/>
  </cols>
  <sheetData>
    <row r="1" ht="12.75">
      <c r="A1" s="3" t="s">
        <v>530</v>
      </c>
    </row>
    <row r="2" ht="12.75">
      <c r="A2" s="6" t="s">
        <v>356</v>
      </c>
    </row>
    <row r="3" spans="1:5" ht="15.75">
      <c r="A3" s="6" t="s">
        <v>357</v>
      </c>
      <c r="C3" s="4" t="s">
        <v>358</v>
      </c>
      <c r="D3" s="14">
        <f>'opt. csavar jellemzői'!G32</f>
        <v>2.4449305555555556</v>
      </c>
      <c r="E3" t="s">
        <v>34</v>
      </c>
    </row>
    <row r="4" spans="1:7" ht="12.75">
      <c r="A4" s="6" t="s">
        <v>359</v>
      </c>
      <c r="C4" s="4" t="s">
        <v>360</v>
      </c>
      <c r="D4">
        <f>Adatok!E37</f>
        <v>0.08</v>
      </c>
      <c r="F4" s="4" t="s">
        <v>361</v>
      </c>
      <c r="G4">
        <f>1-D4</f>
        <v>0.92</v>
      </c>
    </row>
    <row r="5" spans="1:8" ht="12.75">
      <c r="A5" s="6" t="s">
        <v>362</v>
      </c>
      <c r="C5" s="4" t="s">
        <v>99</v>
      </c>
      <c r="D5">
        <f>'opt. csavar jellemzői'!E2</f>
        <v>0.3</v>
      </c>
      <c r="E5" t="s">
        <v>0</v>
      </c>
      <c r="F5" s="4" t="s">
        <v>363</v>
      </c>
      <c r="G5">
        <f>D5/2</f>
        <v>0.15</v>
      </c>
      <c r="H5" t="s">
        <v>0</v>
      </c>
    </row>
    <row r="6" spans="1:5" ht="15.75">
      <c r="A6" s="6" t="s">
        <v>364</v>
      </c>
      <c r="C6" s="4" t="s">
        <v>59</v>
      </c>
      <c r="D6">
        <v>1000</v>
      </c>
      <c r="E6" t="s">
        <v>2</v>
      </c>
    </row>
    <row r="7" spans="1:4" ht="15.75">
      <c r="A7" s="6" t="s">
        <v>365</v>
      </c>
      <c r="C7" s="4" t="s">
        <v>50</v>
      </c>
      <c r="D7">
        <f>'opt. csavar jellemzői'!E9</f>
        <v>0.55</v>
      </c>
    </row>
    <row r="8" spans="1:4" ht="12.75">
      <c r="A8" s="6" t="s">
        <v>366</v>
      </c>
      <c r="C8" s="4" t="s">
        <v>367</v>
      </c>
      <c r="D8">
        <v>4</v>
      </c>
    </row>
    <row r="9" spans="1:5" ht="14.25">
      <c r="A9" s="6" t="s">
        <v>368</v>
      </c>
      <c r="C9" s="4" t="s">
        <v>23</v>
      </c>
      <c r="D9">
        <f>'opt. csavar jellemzői'!E33</f>
        <v>474.3</v>
      </c>
      <c r="E9" t="s">
        <v>369</v>
      </c>
    </row>
    <row r="10" spans="1:5" ht="15.75">
      <c r="A10" s="6" t="s">
        <v>370</v>
      </c>
      <c r="C10" s="4" t="s">
        <v>72</v>
      </c>
      <c r="D10" s="15">
        <f>'opt. csavar jellemzői'!E39</f>
        <v>2126.8162176673413</v>
      </c>
      <c r="E10" t="s">
        <v>371</v>
      </c>
    </row>
    <row r="11" ht="12.75">
      <c r="A11" s="6" t="s">
        <v>192</v>
      </c>
    </row>
    <row r="12" spans="1:10" ht="15.75">
      <c r="A12" s="6" t="s">
        <v>193</v>
      </c>
      <c r="D12" s="8" t="s">
        <v>194</v>
      </c>
      <c r="E12" s="14">
        <f>D3*G4/(G5*(D6/60)*2*PI())</f>
        <v>0.14319718430337364</v>
      </c>
      <c r="G12" t="s">
        <v>195</v>
      </c>
      <c r="J12" s="4"/>
    </row>
    <row r="13" spans="1:10" ht="15.75">
      <c r="A13" s="6" t="s">
        <v>202</v>
      </c>
      <c r="D13" s="8" t="s">
        <v>196</v>
      </c>
      <c r="E13" s="14">
        <f>(0.4/D8)*D7-0.02</f>
        <v>0.035</v>
      </c>
      <c r="G13" t="s">
        <v>197</v>
      </c>
      <c r="J13" s="4"/>
    </row>
    <row r="14" spans="1:7" ht="15.75">
      <c r="A14" s="6" t="s">
        <v>353</v>
      </c>
      <c r="D14" s="8" t="s">
        <v>537</v>
      </c>
      <c r="E14" s="14">
        <f>(0.4/D8)*0.3-0.02</f>
        <v>0.009999999999999998</v>
      </c>
      <c r="G14" t="s">
        <v>354</v>
      </c>
    </row>
    <row r="15" spans="1:10" ht="15.75">
      <c r="A15" s="6" t="s">
        <v>198</v>
      </c>
      <c r="C15" s="8"/>
      <c r="D15" s="4" t="s">
        <v>199</v>
      </c>
      <c r="E15" s="29">
        <f>D9/(0.5*Adatok!E13*POWER(D3*G4,2)*(POWER(D5,2)*PI()/4))</f>
        <v>2.652418317468201</v>
      </c>
      <c r="G15" t="s">
        <v>200</v>
      </c>
      <c r="J15" s="7"/>
    </row>
    <row r="16" spans="1:7" ht="15.75">
      <c r="A16" s="6" t="s">
        <v>355</v>
      </c>
      <c r="C16" s="8"/>
      <c r="D16" s="4" t="s">
        <v>201</v>
      </c>
      <c r="E16" s="14">
        <f>E15/(1-(2*E14*E12))</f>
        <v>2.660036512242146</v>
      </c>
      <c r="G16" t="s">
        <v>203</v>
      </c>
    </row>
    <row r="17" spans="1:7" ht="15.75">
      <c r="A17" s="6" t="s">
        <v>504</v>
      </c>
      <c r="C17" s="8"/>
      <c r="D17" s="8" t="s">
        <v>505</v>
      </c>
      <c r="E17" s="14">
        <v>0.59</v>
      </c>
      <c r="G17" s="21" t="s">
        <v>204</v>
      </c>
    </row>
    <row r="18" spans="1:7" ht="15.75">
      <c r="A18" s="6" t="s">
        <v>377</v>
      </c>
      <c r="D18" s="8" t="s">
        <v>378</v>
      </c>
      <c r="E18" s="14">
        <f>E12/E17</f>
        <v>0.24270709203961635</v>
      </c>
      <c r="G18" s="6" t="s">
        <v>506</v>
      </c>
    </row>
    <row r="19" spans="1:7" ht="15.75">
      <c r="A19" s="6" t="s">
        <v>531</v>
      </c>
      <c r="C19" s="8"/>
      <c r="D19" s="4" t="s">
        <v>372</v>
      </c>
      <c r="E19" s="14">
        <f>D10/(0.5*Adatok!E13*POWER(D3*G4,3)*(POWER(D5,2)*PI()/4))</f>
        <v>5.287671927270532</v>
      </c>
      <c r="G19" t="s">
        <v>375</v>
      </c>
    </row>
    <row r="20" spans="1:7" ht="15.75">
      <c r="A20" s="6" t="s">
        <v>373</v>
      </c>
      <c r="C20" s="8"/>
      <c r="D20" s="4" t="s">
        <v>374</v>
      </c>
      <c r="E20" s="14">
        <f>E19/(1+(2/3)*(E14/E18))</f>
        <v>5.14631324396447</v>
      </c>
      <c r="G20" s="34" t="s">
        <v>376</v>
      </c>
    </row>
    <row r="21" spans="1:7" ht="15.75">
      <c r="A21" s="6" t="s">
        <v>507</v>
      </c>
      <c r="C21" s="8"/>
      <c r="D21" s="8" t="s">
        <v>508</v>
      </c>
      <c r="E21" s="14">
        <v>0.58</v>
      </c>
      <c r="G21" s="21" t="s">
        <v>532</v>
      </c>
    </row>
    <row r="22" spans="1:7" ht="15.75">
      <c r="A22" s="6" t="s">
        <v>205</v>
      </c>
      <c r="C22" s="8"/>
      <c r="D22" s="4" t="s">
        <v>206</v>
      </c>
      <c r="E22" s="14">
        <f>E17*E23</f>
        <v>0.59</v>
      </c>
      <c r="G22" t="s">
        <v>509</v>
      </c>
    </row>
    <row r="23" spans="1:7" ht="15.75">
      <c r="A23" s="6" t="s">
        <v>475</v>
      </c>
      <c r="C23" s="8"/>
      <c r="D23" s="8" t="s">
        <v>207</v>
      </c>
      <c r="E23" s="14">
        <f>Adatok!E41</f>
        <v>1</v>
      </c>
      <c r="G23" t="s">
        <v>110</v>
      </c>
    </row>
    <row r="24" spans="1:5" ht="12.75">
      <c r="A24" s="6" t="s">
        <v>474</v>
      </c>
      <c r="C24" s="8"/>
      <c r="D24" s="8"/>
      <c r="E24" s="14"/>
    </row>
    <row r="25" spans="1:5" ht="12.75">
      <c r="A25" s="6" t="s">
        <v>224</v>
      </c>
      <c r="C25" s="8"/>
      <c r="D25" s="8"/>
      <c r="E25" s="14"/>
    </row>
    <row r="26" spans="1:7" ht="12.75">
      <c r="A26" s="48">
        <v>1</v>
      </c>
      <c r="B26" s="48">
        <v>2</v>
      </c>
      <c r="C26" s="48">
        <v>3</v>
      </c>
      <c r="D26" s="48">
        <v>4</v>
      </c>
      <c r="E26" s="48">
        <v>5</v>
      </c>
      <c r="F26" s="48">
        <v>7</v>
      </c>
      <c r="G26" s="48">
        <v>8</v>
      </c>
    </row>
    <row r="27" spans="1:7" ht="15.75">
      <c r="A27" s="48" t="s">
        <v>188</v>
      </c>
      <c r="B27" s="48" t="s">
        <v>190</v>
      </c>
      <c r="C27" s="48" t="s">
        <v>191</v>
      </c>
      <c r="D27" s="48" t="s">
        <v>208</v>
      </c>
      <c r="E27" s="48" t="s">
        <v>209</v>
      </c>
      <c r="F27" s="48" t="s">
        <v>189</v>
      </c>
      <c r="G27" s="48" t="s">
        <v>213</v>
      </c>
    </row>
    <row r="28" spans="1:7" ht="12.75">
      <c r="A28" s="48" t="s">
        <v>123</v>
      </c>
      <c r="B28" s="51" t="s">
        <v>510</v>
      </c>
      <c r="C28" s="52" t="s">
        <v>511</v>
      </c>
      <c r="D28" s="48" t="s">
        <v>513</v>
      </c>
      <c r="E28" s="48" t="s">
        <v>512</v>
      </c>
      <c r="F28" s="48"/>
      <c r="G28" s="48"/>
    </row>
    <row r="29" spans="1:7" ht="12.75">
      <c r="A29" s="48">
        <v>0.2</v>
      </c>
      <c r="B29" s="53">
        <f>E12/A29</f>
        <v>0.7159859215168681</v>
      </c>
      <c r="C29" s="53">
        <f>B29/E17</f>
        <v>1.2135354601980817</v>
      </c>
      <c r="D29" s="53">
        <f>ATAN(B29)*(180/PI())</f>
        <v>35.60213026265809</v>
      </c>
      <c r="E29" s="53">
        <f>ATAN(C29)*(180/PI())</f>
        <v>50.510161933532245</v>
      </c>
      <c r="F29" s="53">
        <f>TAN((E29-D29)*(PI()/180))</f>
        <v>0.26622953582971143</v>
      </c>
      <c r="G29" s="53">
        <f aca="true" t="shared" si="0" ref="G29:G37">COS((E29-D29)*(PI()/180))</f>
        <v>0.9663400251828842</v>
      </c>
    </row>
    <row r="30" spans="1:7" ht="12.75">
      <c r="A30" s="48">
        <v>0.3</v>
      </c>
      <c r="B30" s="53">
        <f>E12/A30</f>
        <v>0.47732394767791214</v>
      </c>
      <c r="C30" s="53">
        <f>B30/E17</f>
        <v>0.8090236401320545</v>
      </c>
      <c r="D30" s="53">
        <f aca="true" t="shared" si="1" ref="D30:D37">ATAN(B30)*(180/PI())</f>
        <v>25.516260621612417</v>
      </c>
      <c r="E30" s="53">
        <f aca="true" t="shared" si="2" ref="E30:E37">ATAN(C30)*(180/PI())</f>
        <v>38.97367747928993</v>
      </c>
      <c r="F30" s="53">
        <f aca="true" t="shared" si="3" ref="F30:F37">TAN((E30-D30)*(PI()/180))</f>
        <v>0.23929284578156676</v>
      </c>
      <c r="G30" s="53">
        <f t="shared" si="0"/>
        <v>0.9725431521664252</v>
      </c>
    </row>
    <row r="31" spans="1:7" ht="12.75">
      <c r="A31" s="48">
        <v>0.4</v>
      </c>
      <c r="B31" s="53">
        <f>E12/A31</f>
        <v>0.35799296075843406</v>
      </c>
      <c r="C31" s="53">
        <f>B31/E17</f>
        <v>0.6067677300990408</v>
      </c>
      <c r="D31" s="53">
        <f t="shared" si="1"/>
        <v>19.69700988967733</v>
      </c>
      <c r="E31" s="53">
        <f t="shared" si="2"/>
        <v>31.248024825621567</v>
      </c>
      <c r="F31" s="53">
        <f t="shared" si="3"/>
        <v>0.20437970156446658</v>
      </c>
      <c r="G31" s="53">
        <f t="shared" si="0"/>
        <v>0.9797468032725554</v>
      </c>
    </row>
    <row r="32" spans="1:7" ht="12.75">
      <c r="A32" s="48">
        <v>0.5</v>
      </c>
      <c r="B32" s="53">
        <f>E12/A32</f>
        <v>0.2863943686067473</v>
      </c>
      <c r="C32" s="53">
        <f>B32/E17</f>
        <v>0.4854141840792327</v>
      </c>
      <c r="D32" s="53">
        <f t="shared" si="1"/>
        <v>15.981414484001542</v>
      </c>
      <c r="E32" s="53">
        <f t="shared" si="2"/>
        <v>25.892593985945805</v>
      </c>
      <c r="F32" s="53">
        <f t="shared" si="3"/>
        <v>0.17472900819034604</v>
      </c>
      <c r="G32" s="53">
        <f t="shared" si="0"/>
        <v>0.98507576074836</v>
      </c>
    </row>
    <row r="33" spans="1:7" ht="12.75">
      <c r="A33" s="48">
        <v>0.6</v>
      </c>
      <c r="B33" s="53">
        <f>E12/A33</f>
        <v>0.23866197383895607</v>
      </c>
      <c r="C33" s="53">
        <f>B33/E17</f>
        <v>0.40451182006602726</v>
      </c>
      <c r="D33" s="53">
        <f t="shared" si="1"/>
        <v>13.423223356608515</v>
      </c>
      <c r="E33" s="53">
        <f t="shared" si="2"/>
        <v>22.023914131013065</v>
      </c>
      <c r="F33" s="53">
        <f t="shared" si="3"/>
        <v>0.15124811300141877</v>
      </c>
      <c r="G33" s="53">
        <f t="shared" si="0"/>
        <v>0.988754578134017</v>
      </c>
    </row>
    <row r="34" spans="1:7" ht="12.75">
      <c r="A34" s="48">
        <v>0.7</v>
      </c>
      <c r="B34" s="53">
        <f>E12/A34</f>
        <v>0.20456740614767663</v>
      </c>
      <c r="C34" s="53">
        <f>B34/E17</f>
        <v>0.3467244171994519</v>
      </c>
      <c r="D34" s="53">
        <f t="shared" si="1"/>
        <v>11.561338014267806</v>
      </c>
      <c r="E34" s="53">
        <f t="shared" si="2"/>
        <v>19.122680149155148</v>
      </c>
      <c r="F34" s="53">
        <f t="shared" si="3"/>
        <v>0.13274183020047348</v>
      </c>
      <c r="G34" s="53">
        <f t="shared" si="0"/>
        <v>0.9913045489454715</v>
      </c>
    </row>
    <row r="35" spans="1:7" ht="12.75">
      <c r="A35" s="48">
        <v>0.8</v>
      </c>
      <c r="B35" s="53">
        <f>E12/A35</f>
        <v>0.17899648037921703</v>
      </c>
      <c r="C35" s="53">
        <f>B35/E17</f>
        <v>0.3033838650495204</v>
      </c>
      <c r="D35" s="53">
        <f t="shared" si="1"/>
        <v>10.148271007093312</v>
      </c>
      <c r="E35" s="53">
        <f t="shared" si="2"/>
        <v>16.87695080607457</v>
      </c>
      <c r="F35" s="53">
        <f t="shared" si="3"/>
        <v>0.11798049583918442</v>
      </c>
      <c r="G35" s="53">
        <f t="shared" si="0"/>
        <v>0.9931121247729463</v>
      </c>
    </row>
    <row r="36" spans="1:7" ht="12.75">
      <c r="A36" s="48">
        <v>0.9</v>
      </c>
      <c r="B36" s="53">
        <f>E12/A36</f>
        <v>0.15910798255930403</v>
      </c>
      <c r="C36" s="53">
        <f>B36/E17</f>
        <v>0.2696745467106848</v>
      </c>
      <c r="D36" s="53">
        <f t="shared" si="1"/>
        <v>9.040436890575489</v>
      </c>
      <c r="E36" s="53">
        <f t="shared" si="2"/>
        <v>15.092193608043187</v>
      </c>
      <c r="F36" s="53">
        <f t="shared" si="3"/>
        <v>0.10601762630693178</v>
      </c>
      <c r="G36" s="53">
        <f t="shared" si="0"/>
        <v>0.994427066430401</v>
      </c>
    </row>
    <row r="37" spans="1:7" ht="12.75">
      <c r="A37" s="48">
        <v>0.95</v>
      </c>
      <c r="B37" s="53">
        <f>E12/A37</f>
        <v>0.15073387821407752</v>
      </c>
      <c r="C37" s="53">
        <f>B37/E17</f>
        <v>0.25548114951538564</v>
      </c>
      <c r="D37" s="53">
        <f t="shared" si="1"/>
        <v>8.571884036096852</v>
      </c>
      <c r="E37" s="53">
        <f t="shared" si="2"/>
        <v>14.331433548144826</v>
      </c>
      <c r="F37" s="53">
        <f t="shared" si="3"/>
        <v>0.100863068379874</v>
      </c>
      <c r="G37" s="53">
        <f t="shared" si="0"/>
        <v>0.9949518060443294</v>
      </c>
    </row>
    <row r="39" spans="1:8" ht="12.75">
      <c r="A39" s="48">
        <v>1</v>
      </c>
      <c r="B39" s="48">
        <v>9</v>
      </c>
      <c r="C39" s="48">
        <v>10</v>
      </c>
      <c r="D39" s="48">
        <v>11</v>
      </c>
      <c r="E39" s="48">
        <v>12</v>
      </c>
      <c r="F39" s="48">
        <v>13</v>
      </c>
      <c r="G39" s="48">
        <v>14</v>
      </c>
      <c r="H39" s="48">
        <v>15</v>
      </c>
    </row>
    <row r="40" spans="1:8" ht="15.75">
      <c r="A40" s="48" t="s">
        <v>188</v>
      </c>
      <c r="B40" s="48" t="s">
        <v>210</v>
      </c>
      <c r="C40" s="48" t="s">
        <v>214</v>
      </c>
      <c r="D40" s="48" t="s">
        <v>215</v>
      </c>
      <c r="E40" s="48" t="s">
        <v>211</v>
      </c>
      <c r="F40" s="48" t="s">
        <v>212</v>
      </c>
      <c r="G40" s="48" t="s">
        <v>222</v>
      </c>
      <c r="H40" s="48" t="s">
        <v>223</v>
      </c>
    </row>
    <row r="41" spans="1:8" ht="12.75">
      <c r="A41" s="48" t="s">
        <v>123</v>
      </c>
      <c r="B41" s="48" t="s">
        <v>216</v>
      </c>
      <c r="C41" s="48" t="s">
        <v>217</v>
      </c>
      <c r="D41" s="48" t="s">
        <v>218</v>
      </c>
      <c r="E41" s="55" t="s">
        <v>219</v>
      </c>
      <c r="F41" s="50" t="s">
        <v>220</v>
      </c>
      <c r="G41" s="48" t="s">
        <v>221</v>
      </c>
      <c r="H41" s="52" t="s">
        <v>514</v>
      </c>
    </row>
    <row r="42" spans="1:8" ht="12.75">
      <c r="A42" s="48">
        <v>0.2</v>
      </c>
      <c r="B42" s="53">
        <f aca="true" t="shared" si="4" ref="B42:B50">SIN(D29*(PI()/180))</f>
        <v>0.5821532009203543</v>
      </c>
      <c r="C42" s="53">
        <f aca="true" t="shared" si="5" ref="C42:C50">SIN(E29*(PI()/180))</f>
        <v>0.7717373855742429</v>
      </c>
      <c r="D42" s="53">
        <f aca="true" t="shared" si="6" ref="D42:D50">COS(E29*(PI()/180))</f>
        <v>0.6359413555564949</v>
      </c>
      <c r="E42" s="43">
        <v>1.06</v>
      </c>
      <c r="F42" s="56">
        <f>(4*PI()*D5/D8)*A29*E42</f>
        <v>0.19980529276831088</v>
      </c>
      <c r="G42" s="57">
        <f aca="true" t="shared" si="7" ref="G42:G50">F29*C42*F42</f>
        <v>0.04105185277998219</v>
      </c>
      <c r="H42" s="43">
        <f>D3*G4*G29/B42</f>
        <v>3.733765460396843</v>
      </c>
    </row>
    <row r="43" spans="1:8" ht="12.75">
      <c r="A43" s="48">
        <v>0.3</v>
      </c>
      <c r="B43" s="53">
        <f t="shared" si="4"/>
        <v>0.4307672344217627</v>
      </c>
      <c r="C43" s="53">
        <f t="shared" si="5"/>
        <v>0.6289632924067965</v>
      </c>
      <c r="D43" s="53">
        <f t="shared" si="6"/>
        <v>0.7774349984434729</v>
      </c>
      <c r="E43" s="43">
        <v>0.98</v>
      </c>
      <c r="F43" s="56">
        <f>(4*PI()*D5/D8)*A30*E43</f>
        <v>0.27708847204661974</v>
      </c>
      <c r="G43" s="57">
        <f t="shared" si="7"/>
        <v>0.0417035928792746</v>
      </c>
      <c r="H43" s="43">
        <f>D3*G4*G30/B43</f>
        <v>5.078325965804354</v>
      </c>
    </row>
    <row r="44" spans="1:8" ht="12.75">
      <c r="A44" s="48">
        <v>0.4</v>
      </c>
      <c r="B44" s="53">
        <f t="shared" si="4"/>
        <v>0.3370461251864229</v>
      </c>
      <c r="C44" s="53">
        <f t="shared" si="5"/>
        <v>0.5187437862221235</v>
      </c>
      <c r="D44" s="53">
        <f t="shared" si="6"/>
        <v>0.8549297539891426</v>
      </c>
      <c r="E44" s="43">
        <v>0.96</v>
      </c>
      <c r="F44" s="56">
        <f>(4*PI()*D5/D8)*A31*E44</f>
        <v>0.3619114736935442</v>
      </c>
      <c r="G44" s="57">
        <f t="shared" si="7"/>
        <v>0.03837010785737463</v>
      </c>
      <c r="H44" s="43">
        <f>D3*G4*G31/B44</f>
        <v>6.5385111996991645</v>
      </c>
    </row>
    <row r="45" spans="1:8" ht="12.75">
      <c r="A45" s="48">
        <v>0.5</v>
      </c>
      <c r="B45" s="53">
        <f t="shared" si="4"/>
        <v>0.275325528744566</v>
      </c>
      <c r="C45" s="53">
        <f t="shared" si="5"/>
        <v>0.4366855084834601</v>
      </c>
      <c r="D45" s="53">
        <f t="shared" si="6"/>
        <v>0.8996142321465028</v>
      </c>
      <c r="E45" s="43">
        <v>0.96</v>
      </c>
      <c r="F45" s="56">
        <f>(4*PI()*D5/D8)*A32*E45</f>
        <v>0.4523893421169302</v>
      </c>
      <c r="G45" s="57">
        <f t="shared" si="7"/>
        <v>0.03451804229287187</v>
      </c>
      <c r="H45" s="43">
        <f>D3*G4*G32/B45</f>
        <v>8.047806140371454</v>
      </c>
    </row>
    <row r="46" spans="1:8" ht="12.75">
      <c r="A46" s="48">
        <v>0.6</v>
      </c>
      <c r="B46" s="53">
        <f t="shared" si="4"/>
        <v>0.23214217389196865</v>
      </c>
      <c r="C46" s="53">
        <f t="shared" si="5"/>
        <v>0.3749935490728187</v>
      </c>
      <c r="D46" s="53">
        <f t="shared" si="6"/>
        <v>0.927027420389371</v>
      </c>
      <c r="E46" s="43">
        <v>0.95</v>
      </c>
      <c r="F46" s="56">
        <f>(4*PI()*D5/D8)*A33*E46</f>
        <v>0.5372123437638546</v>
      </c>
      <c r="G46" s="57">
        <f t="shared" si="7"/>
        <v>0.0304691083252429</v>
      </c>
      <c r="H46" s="43">
        <f>D3*G4*G33/B46</f>
        <v>9.580514132077841</v>
      </c>
    </row>
    <row r="47" spans="1:8" ht="12.75">
      <c r="A47" s="48">
        <v>0.7</v>
      </c>
      <c r="B47" s="53">
        <f t="shared" si="4"/>
        <v>0.2004168786632319</v>
      </c>
      <c r="C47" s="53">
        <f t="shared" si="5"/>
        <v>0.32759192500769224</v>
      </c>
      <c r="D47" s="53">
        <f t="shared" si="6"/>
        <v>0.9448193111223725</v>
      </c>
      <c r="E47" s="43">
        <v>0.93</v>
      </c>
      <c r="F47" s="56">
        <f>(4*PI()*D5/D8)*A34*E47</f>
        <v>0.6135530452460866</v>
      </c>
      <c r="G47" s="57">
        <f t="shared" si="7"/>
        <v>0.02668044723896224</v>
      </c>
      <c r="H47" s="43">
        <f>D3*G4*G34/B47</f>
        <v>11.125695270399557</v>
      </c>
    </row>
    <row r="48" spans="1:8" ht="12.75">
      <c r="A48" s="48">
        <v>0.8</v>
      </c>
      <c r="B48" s="53">
        <f t="shared" si="4"/>
        <v>0.17619609587945687</v>
      </c>
      <c r="C48" s="53">
        <f t="shared" si="5"/>
        <v>0.29031725898028843</v>
      </c>
      <c r="D48" s="53">
        <f t="shared" si="6"/>
        <v>0.9569304515680187</v>
      </c>
      <c r="E48" s="43">
        <v>0.86</v>
      </c>
      <c r="F48" s="56">
        <f>(4*PI()*D5/D8)*A35*E48</f>
        <v>0.6484247237009333</v>
      </c>
      <c r="G48" s="57">
        <f t="shared" si="7"/>
        <v>0.0222096971993154</v>
      </c>
      <c r="H48" s="43">
        <f>D3*G4*G35/B48</f>
        <v>12.678163800872962</v>
      </c>
    </row>
    <row r="49" spans="1:8" ht="12.75">
      <c r="A49" s="48">
        <v>0.9</v>
      </c>
      <c r="B49" s="53">
        <f t="shared" si="4"/>
        <v>0.1571314938644109</v>
      </c>
      <c r="C49" s="53">
        <f t="shared" si="5"/>
        <v>0.26037296324162285</v>
      </c>
      <c r="D49" s="53">
        <f t="shared" si="6"/>
        <v>0.9655081149388526</v>
      </c>
      <c r="E49" s="43">
        <v>0.7</v>
      </c>
      <c r="F49" s="56">
        <f>(4*PI()*D5/D8)*A36*E49</f>
        <v>0.5937610115284708</v>
      </c>
      <c r="G49" s="57">
        <f t="shared" si="7"/>
        <v>0.016390252302035717</v>
      </c>
      <c r="H49" s="43">
        <f>D3*G4*G36/B49</f>
        <v>14.23521571250592</v>
      </c>
    </row>
    <row r="50" spans="1:8" ht="12.75">
      <c r="A50" s="48">
        <v>0.95</v>
      </c>
      <c r="B50" s="53">
        <f t="shared" si="4"/>
        <v>0.14905012674179133</v>
      </c>
      <c r="C50" s="53">
        <f t="shared" si="5"/>
        <v>0.24753059587988635</v>
      </c>
      <c r="D50" s="53">
        <f t="shared" si="6"/>
        <v>0.968880077255874</v>
      </c>
      <c r="E50" s="43">
        <v>0.53</v>
      </c>
      <c r="F50" s="56">
        <f>(4*PI()*D5/D8)*A37*E50</f>
        <v>0.47453757032473826</v>
      </c>
      <c r="G50" s="57">
        <f t="shared" si="7"/>
        <v>0.011847634982858705</v>
      </c>
      <c r="H50" s="43">
        <f>D3*G4*G37/B50</f>
        <v>15.014955539271163</v>
      </c>
    </row>
    <row r="52" ht="12.75">
      <c r="A52" t="s">
        <v>225</v>
      </c>
    </row>
    <row r="53" spans="1:9" ht="12.75">
      <c r="A53" s="42"/>
      <c r="B53" s="42"/>
      <c r="C53" s="42"/>
      <c r="D53" s="42"/>
      <c r="E53" s="42"/>
      <c r="F53" s="59" t="s">
        <v>226</v>
      </c>
      <c r="G53" s="60"/>
      <c r="H53" s="60"/>
      <c r="I53" s="61"/>
    </row>
    <row r="54" spans="1:9" ht="12.75">
      <c r="A54" s="48">
        <v>1</v>
      </c>
      <c r="B54" s="54">
        <v>17</v>
      </c>
      <c r="C54" s="48">
        <v>18</v>
      </c>
      <c r="D54" s="48" t="s">
        <v>231</v>
      </c>
      <c r="E54" s="48">
        <v>19</v>
      </c>
      <c r="F54" s="48">
        <v>20</v>
      </c>
      <c r="G54" s="48">
        <v>21</v>
      </c>
      <c r="H54" s="48">
        <v>22</v>
      </c>
      <c r="I54" s="48">
        <v>23</v>
      </c>
    </row>
    <row r="55" spans="1:9" ht="15.75">
      <c r="A55" s="48" t="s">
        <v>188</v>
      </c>
      <c r="B55" s="51" t="s">
        <v>238</v>
      </c>
      <c r="C55" s="48" t="s">
        <v>239</v>
      </c>
      <c r="D55" s="54" t="s">
        <v>232</v>
      </c>
      <c r="E55" s="48" t="s">
        <v>240</v>
      </c>
      <c r="F55" s="48" t="s">
        <v>227</v>
      </c>
      <c r="G55" s="48" t="s">
        <v>247</v>
      </c>
      <c r="H55" s="48" t="s">
        <v>228</v>
      </c>
      <c r="I55" s="51" t="s">
        <v>241</v>
      </c>
    </row>
    <row r="56" spans="1:9" ht="14.25">
      <c r="A56" s="48" t="s">
        <v>123</v>
      </c>
      <c r="B56" s="48" t="s">
        <v>229</v>
      </c>
      <c r="C56" s="48" t="s">
        <v>230</v>
      </c>
      <c r="D56" s="48" t="s">
        <v>233</v>
      </c>
      <c r="E56" s="48" t="s">
        <v>237</v>
      </c>
      <c r="F56" s="48" t="s">
        <v>234</v>
      </c>
      <c r="G56" s="48"/>
      <c r="H56" s="48" t="s">
        <v>235</v>
      </c>
      <c r="I56" s="48" t="s">
        <v>236</v>
      </c>
    </row>
    <row r="57" spans="1:9" ht="12.75">
      <c r="A57" s="48">
        <v>0.2</v>
      </c>
      <c r="B57" s="58">
        <f>0.5*Adatok!E13*POWER(H42,2)</f>
        <v>6970.502256626224</v>
      </c>
      <c r="C57" s="44">
        <f aca="true" t="shared" si="8" ref="C57:C65">G42*B57</f>
        <v>286.1520324415534</v>
      </c>
      <c r="D57" s="42">
        <v>0.5</v>
      </c>
      <c r="E57" s="44">
        <f>C57*D57</f>
        <v>143.0760162207767</v>
      </c>
      <c r="F57" s="62">
        <v>0</v>
      </c>
      <c r="G57" s="53">
        <f>E29-E29</f>
        <v>0</v>
      </c>
      <c r="H57" s="53">
        <f>COS(G57*PI()/180)</f>
        <v>1</v>
      </c>
      <c r="I57" s="44">
        <f>E57*F57*H57</f>
        <v>0</v>
      </c>
    </row>
    <row r="58" spans="1:9" ht="12.75">
      <c r="A58" s="48">
        <v>0.3</v>
      </c>
      <c r="B58" s="58">
        <f>0.5*Adatok!E13*POWER(H43,2)</f>
        <v>12894.697307481363</v>
      </c>
      <c r="C58" s="44">
        <f t="shared" si="8"/>
        <v>537.7552068126812</v>
      </c>
      <c r="D58" s="42">
        <v>2</v>
      </c>
      <c r="E58" s="44">
        <f aca="true" t="shared" si="9" ref="E58:E65">C58*D58</f>
        <v>1075.5104136253624</v>
      </c>
      <c r="F58" s="42">
        <v>0.1</v>
      </c>
      <c r="G58" s="53">
        <f>E29-E30</f>
        <v>11.536484454242313</v>
      </c>
      <c r="H58" s="53">
        <f aca="true" t="shared" si="10" ref="H58:H65">COS(G58*PI()/180)</f>
        <v>0.9797975536713929</v>
      </c>
      <c r="I58" s="44">
        <f aca="true" t="shared" si="11" ref="I58:I65">E58*F58*H58</f>
        <v>105.3782472218238</v>
      </c>
    </row>
    <row r="59" spans="1:9" ht="12.75">
      <c r="A59" s="48">
        <v>0.4</v>
      </c>
      <c r="B59" s="58">
        <f>0.5*Adatok!E13*POWER(H44,2)</f>
        <v>21376.064354295704</v>
      </c>
      <c r="C59" s="44">
        <f t="shared" si="8"/>
        <v>820.2018948405073</v>
      </c>
      <c r="D59" s="42">
        <v>1</v>
      </c>
      <c r="E59" s="44">
        <f t="shared" si="9"/>
        <v>820.2018948405073</v>
      </c>
      <c r="F59" s="42">
        <v>0.2</v>
      </c>
      <c r="G59" s="53">
        <f>E29-E31</f>
        <v>19.26213710791068</v>
      </c>
      <c r="H59" s="53">
        <f t="shared" si="10"/>
        <v>0.9440191600193816</v>
      </c>
      <c r="I59" s="44">
        <f t="shared" si="11"/>
        <v>154.85726076272817</v>
      </c>
    </row>
    <row r="60" spans="1:9" ht="12.75">
      <c r="A60" s="48">
        <v>0.5</v>
      </c>
      <c r="B60" s="58">
        <f>0.5*Adatok!E$13*POWER(H45,2)</f>
        <v>32383.591836500244</v>
      </c>
      <c r="C60" s="44">
        <f t="shared" si="8"/>
        <v>1117.8181926074158</v>
      </c>
      <c r="D60" s="42">
        <v>2</v>
      </c>
      <c r="E60" s="44">
        <f t="shared" si="9"/>
        <v>2235.6363852148315</v>
      </c>
      <c r="F60" s="42">
        <v>0.3</v>
      </c>
      <c r="G60" s="53">
        <f>E29-E32</f>
        <v>24.61756794758644</v>
      </c>
      <c r="H60" s="53">
        <f t="shared" si="10"/>
        <v>0.9091084269043467</v>
      </c>
      <c r="I60" s="44">
        <f t="shared" si="11"/>
        <v>609.7307631878326</v>
      </c>
    </row>
    <row r="61" spans="1:9" ht="12.75">
      <c r="A61" s="48">
        <v>0.6</v>
      </c>
      <c r="B61" s="58">
        <f>0.5*Adatok!E$13*POWER(H46,2)</f>
        <v>45893.12551747162</v>
      </c>
      <c r="C61" s="44">
        <f t="shared" si="8"/>
        <v>1398.3226127758119</v>
      </c>
      <c r="D61" s="42">
        <v>1</v>
      </c>
      <c r="E61" s="44">
        <f t="shared" si="9"/>
        <v>1398.3226127758119</v>
      </c>
      <c r="F61" s="42">
        <v>0.4</v>
      </c>
      <c r="G61" s="53">
        <f>E29-E33</f>
        <v>28.48624780251918</v>
      </c>
      <c r="H61" s="53">
        <f t="shared" si="10"/>
        <v>0.8789316155291209</v>
      </c>
      <c r="I61" s="44">
        <f t="shared" si="11"/>
        <v>491.6119812311783</v>
      </c>
    </row>
    <row r="62" spans="1:9" ht="12.75">
      <c r="A62" s="48">
        <v>0.7</v>
      </c>
      <c r="B62" s="58">
        <f>0.5*Adatok!E$13*POWER(H47,2)</f>
        <v>61890.54762489554</v>
      </c>
      <c r="C62" s="44">
        <f t="shared" si="8"/>
        <v>1651.2674904965052</v>
      </c>
      <c r="D62" s="42">
        <v>2</v>
      </c>
      <c r="E62" s="44">
        <f t="shared" si="9"/>
        <v>3302.5349809930103</v>
      </c>
      <c r="F62" s="42">
        <v>0.5</v>
      </c>
      <c r="G62" s="53">
        <f>E29-E34</f>
        <v>31.387481784377098</v>
      </c>
      <c r="H62" s="53">
        <f t="shared" si="10"/>
        <v>0.8536646092117852</v>
      </c>
      <c r="I62" s="44">
        <f t="shared" si="11"/>
        <v>1409.6286169788243</v>
      </c>
    </row>
    <row r="63" spans="1:9" ht="12.75">
      <c r="A63" s="48">
        <v>0.8</v>
      </c>
      <c r="B63" s="58">
        <f>0.5*Adatok!E$13*POWER(H48,2)</f>
        <v>80367.91868088278</v>
      </c>
      <c r="C63" s="44">
        <f t="shared" si="8"/>
        <v>1784.9471384416102</v>
      </c>
      <c r="D63" s="42">
        <v>1</v>
      </c>
      <c r="E63" s="44">
        <f t="shared" si="9"/>
        <v>1784.9471384416102</v>
      </c>
      <c r="F63" s="42">
        <v>0.6</v>
      </c>
      <c r="G63" s="53">
        <f>E29-E35</f>
        <v>33.63321112745767</v>
      </c>
      <c r="H63" s="53">
        <f t="shared" si="10"/>
        <v>0.8326003309759828</v>
      </c>
      <c r="I63" s="44">
        <f t="shared" si="11"/>
        <v>891.6885469446709</v>
      </c>
    </row>
    <row r="64" spans="1:9" ht="12.75">
      <c r="A64" s="48">
        <v>0.9</v>
      </c>
      <c r="B64" s="58">
        <f>0.5*Adatok!E$13*POWER(H49,2)</f>
        <v>101320.6831907877</v>
      </c>
      <c r="C64" s="44">
        <f t="shared" si="8"/>
        <v>1660.6715609116397</v>
      </c>
      <c r="D64" s="42">
        <v>2</v>
      </c>
      <c r="E64" s="44">
        <f t="shared" si="9"/>
        <v>3321.3431218232795</v>
      </c>
      <c r="F64" s="42">
        <v>0.7</v>
      </c>
      <c r="G64" s="53">
        <f>E29-C36</f>
        <v>50.24048738682156</v>
      </c>
      <c r="H64" s="53">
        <f t="shared" si="10"/>
        <v>0.6395666412242609</v>
      </c>
      <c r="I64" s="44">
        <f t="shared" si="11"/>
        <v>1486.954185344471</v>
      </c>
    </row>
    <row r="65" spans="1:9" ht="12.75">
      <c r="A65" s="48">
        <v>0.95</v>
      </c>
      <c r="B65" s="58">
        <f>0.5*Adatok!E$13*POWER(H50,2)</f>
        <v>112724.4449231449</v>
      </c>
      <c r="C65" s="44">
        <f t="shared" si="8"/>
        <v>1335.518077094781</v>
      </c>
      <c r="D65" s="42">
        <v>0.5</v>
      </c>
      <c r="E65" s="44">
        <f t="shared" si="9"/>
        <v>667.7590385473904</v>
      </c>
      <c r="F65" s="42">
        <v>0.75</v>
      </c>
      <c r="G65" s="53">
        <f>E29-E37</f>
        <v>36.178728385387416</v>
      </c>
      <c r="H65" s="53">
        <f t="shared" si="10"/>
        <v>0.80717952461576</v>
      </c>
      <c r="I65" s="44">
        <f t="shared" si="11"/>
        <v>404.2510674694197</v>
      </c>
    </row>
    <row r="67" spans="1:8" ht="12.75">
      <c r="A67" t="s">
        <v>242</v>
      </c>
      <c r="E67" s="4" t="s">
        <v>243</v>
      </c>
      <c r="F67" s="32">
        <f>(2/3)*(G5/10)*D8*SUM(E57:E65)</f>
        <v>589.9732640993032</v>
      </c>
      <c r="G67" t="s">
        <v>22</v>
      </c>
      <c r="H67" s="10" t="s">
        <v>244</v>
      </c>
    </row>
    <row r="68" spans="5:7" ht="12.75">
      <c r="E68" s="4" t="s">
        <v>245</v>
      </c>
      <c r="F68" s="7">
        <f>D9/F67</f>
        <v>0.8039347354563626</v>
      </c>
      <c r="G68" t="s">
        <v>246</v>
      </c>
    </row>
    <row r="69" spans="1:8" ht="15.75">
      <c r="A69" t="s">
        <v>248</v>
      </c>
      <c r="E69" s="4" t="s">
        <v>249</v>
      </c>
      <c r="F69" s="7">
        <f>(2/3)*(POWER(G5,2)/10)*SUM(I57:I65)</f>
        <v>8.33115100371142</v>
      </c>
      <c r="G69" t="s">
        <v>62</v>
      </c>
      <c r="H69" s="10" t="s">
        <v>252</v>
      </c>
    </row>
    <row r="70" ht="12.75">
      <c r="A70" s="41"/>
    </row>
    <row r="71" spans="1:9" ht="12.75">
      <c r="A71" s="42"/>
      <c r="B71" s="59" t="s">
        <v>250</v>
      </c>
      <c r="C71" s="60"/>
      <c r="D71" s="60"/>
      <c r="E71" s="61"/>
      <c r="F71" s="59" t="s">
        <v>251</v>
      </c>
      <c r="G71" s="60"/>
      <c r="H71" s="60"/>
      <c r="I71" s="61"/>
    </row>
    <row r="72" spans="1:9" ht="12.75">
      <c r="A72" s="48">
        <v>1</v>
      </c>
      <c r="B72" s="48">
        <v>24</v>
      </c>
      <c r="C72" s="48">
        <v>25</v>
      </c>
      <c r="D72" s="48">
        <v>26</v>
      </c>
      <c r="E72" s="48">
        <v>27</v>
      </c>
      <c r="F72" s="48">
        <v>28</v>
      </c>
      <c r="G72" s="48">
        <v>29</v>
      </c>
      <c r="H72" s="48">
        <v>30</v>
      </c>
      <c r="I72" s="48">
        <v>31</v>
      </c>
    </row>
    <row r="73" spans="1:9" ht="15.75">
      <c r="A73" s="48" t="s">
        <v>188</v>
      </c>
      <c r="B73" s="48" t="s">
        <v>227</v>
      </c>
      <c r="C73" s="48" t="s">
        <v>247</v>
      </c>
      <c r="D73" s="48" t="s">
        <v>228</v>
      </c>
      <c r="E73" s="51" t="s">
        <v>241</v>
      </c>
      <c r="F73" s="48" t="s">
        <v>227</v>
      </c>
      <c r="G73" s="48" t="s">
        <v>247</v>
      </c>
      <c r="H73" s="48" t="s">
        <v>228</v>
      </c>
      <c r="I73" s="51" t="s">
        <v>241</v>
      </c>
    </row>
    <row r="74" spans="1:9" ht="12.75">
      <c r="A74" s="48" t="s">
        <v>123</v>
      </c>
      <c r="B74" s="48" t="s">
        <v>253</v>
      </c>
      <c r="C74" s="48"/>
      <c r="D74" s="48" t="s">
        <v>255</v>
      </c>
      <c r="E74" s="48" t="s">
        <v>256</v>
      </c>
      <c r="F74" s="48" t="s">
        <v>254</v>
      </c>
      <c r="G74" s="48"/>
      <c r="H74" s="48" t="s">
        <v>257</v>
      </c>
      <c r="I74" s="48" t="s">
        <v>258</v>
      </c>
    </row>
    <row r="75" spans="1:9" ht="12.75">
      <c r="A75" s="48">
        <v>0.2</v>
      </c>
      <c r="B75" s="42">
        <v>0</v>
      </c>
      <c r="C75" s="53">
        <v>0</v>
      </c>
      <c r="D75" s="53">
        <f>COS(C75*PI()/180)</f>
        <v>1</v>
      </c>
      <c r="E75" s="44">
        <f>E57*B75*D75</f>
        <v>0</v>
      </c>
      <c r="F75" s="42">
        <v>0</v>
      </c>
      <c r="G75" s="53">
        <v>0</v>
      </c>
      <c r="H75" s="53">
        <f>COS(G75*PI()/180)</f>
        <v>1</v>
      </c>
      <c r="I75" s="44">
        <f>E57*F75*H75</f>
        <v>0</v>
      </c>
    </row>
    <row r="76" spans="1:9" ht="12.75">
      <c r="A76" s="48">
        <v>0.3</v>
      </c>
      <c r="B76" s="42">
        <v>0</v>
      </c>
      <c r="C76" s="53">
        <v>0</v>
      </c>
      <c r="D76" s="53">
        <f aca="true" t="shared" si="12" ref="D76:D83">COS(C76*PI()/180)</f>
        <v>1</v>
      </c>
      <c r="E76" s="44">
        <f aca="true" t="shared" si="13" ref="E76:E83">E58*B76*D76</f>
        <v>0</v>
      </c>
      <c r="F76" s="42">
        <v>0</v>
      </c>
      <c r="G76" s="53">
        <v>0</v>
      </c>
      <c r="H76" s="53">
        <f aca="true" t="shared" si="14" ref="H76:H83">COS(G76*PI()/180)</f>
        <v>1</v>
      </c>
      <c r="I76" s="44">
        <f aca="true" t="shared" si="15" ref="I76:I83">E58*F76*H76</f>
        <v>0</v>
      </c>
    </row>
    <row r="77" spans="1:9" ht="12.75">
      <c r="A77" s="48">
        <v>0.4</v>
      </c>
      <c r="B77" s="62">
        <v>0</v>
      </c>
      <c r="C77" s="53">
        <v>0</v>
      </c>
      <c r="D77" s="53">
        <f t="shared" si="12"/>
        <v>1</v>
      </c>
      <c r="E77" s="44">
        <f t="shared" si="13"/>
        <v>0</v>
      </c>
      <c r="F77" s="62">
        <v>0</v>
      </c>
      <c r="G77" s="53">
        <v>0</v>
      </c>
      <c r="H77" s="53">
        <f t="shared" si="14"/>
        <v>1</v>
      </c>
      <c r="I77" s="44">
        <f t="shared" si="15"/>
        <v>0</v>
      </c>
    </row>
    <row r="78" spans="1:9" ht="12.75">
      <c r="A78" s="48">
        <v>0.5</v>
      </c>
      <c r="B78" s="62">
        <v>0.1</v>
      </c>
      <c r="C78" s="53">
        <f>E31-E32</f>
        <v>5.355430839675762</v>
      </c>
      <c r="D78" s="53">
        <f t="shared" si="12"/>
        <v>0.9956348682331844</v>
      </c>
      <c r="E78" s="44">
        <f t="shared" si="13"/>
        <v>222.58775378106816</v>
      </c>
      <c r="F78" s="62">
        <v>0</v>
      </c>
      <c r="G78" s="53">
        <v>0</v>
      </c>
      <c r="H78" s="53">
        <f t="shared" si="14"/>
        <v>1</v>
      </c>
      <c r="I78" s="44">
        <f t="shared" si="15"/>
        <v>0</v>
      </c>
    </row>
    <row r="79" spans="1:9" ht="12.75">
      <c r="A79" s="48">
        <v>0.6</v>
      </c>
      <c r="B79" s="62">
        <v>0.2</v>
      </c>
      <c r="C79" s="53">
        <f>E31-E33</f>
        <v>9.224110694608502</v>
      </c>
      <c r="D79" s="53">
        <f t="shared" si="12"/>
        <v>0.98706889790958</v>
      </c>
      <c r="E79" s="44">
        <f t="shared" si="13"/>
        <v>276.04815206293296</v>
      </c>
      <c r="F79" s="62">
        <v>0</v>
      </c>
      <c r="G79" s="53">
        <v>0</v>
      </c>
      <c r="H79" s="53">
        <f t="shared" si="14"/>
        <v>1</v>
      </c>
      <c r="I79" s="44">
        <f t="shared" si="15"/>
        <v>0</v>
      </c>
    </row>
    <row r="80" spans="1:9" ht="12.75">
      <c r="A80" s="48">
        <v>0.7</v>
      </c>
      <c r="B80" s="62">
        <v>0.3</v>
      </c>
      <c r="C80" s="53">
        <f>E31-E34</f>
        <v>12.125344676466419</v>
      </c>
      <c r="D80" s="53">
        <f t="shared" si="12"/>
        <v>0.9776904167363253</v>
      </c>
      <c r="E80" s="44">
        <f t="shared" si="13"/>
        <v>968.6570405560045</v>
      </c>
      <c r="F80" s="62">
        <v>0.1</v>
      </c>
      <c r="G80" s="53">
        <f>E33-E34</f>
        <v>2.901233981857917</v>
      </c>
      <c r="H80" s="53">
        <f t="shared" si="14"/>
        <v>0.9987182673300666</v>
      </c>
      <c r="I80" s="44">
        <f t="shared" si="15"/>
        <v>329.8302014014274</v>
      </c>
    </row>
    <row r="81" spans="1:9" ht="12.75">
      <c r="A81" s="48">
        <v>0.8</v>
      </c>
      <c r="B81" s="62">
        <v>0.4</v>
      </c>
      <c r="C81" s="53">
        <f>E31-E35</f>
        <v>14.371074019546995</v>
      </c>
      <c r="D81" s="53">
        <f t="shared" si="12"/>
        <v>0.9687085896728289</v>
      </c>
      <c r="E81" s="44">
        <f t="shared" si="13"/>
        <v>691.6374500481296</v>
      </c>
      <c r="F81" s="62">
        <v>0.2</v>
      </c>
      <c r="G81" s="53">
        <f>E33-E35</f>
        <v>5.146963324938493</v>
      </c>
      <c r="H81" s="53">
        <f t="shared" si="14"/>
        <v>0.9959678673112472</v>
      </c>
      <c r="I81" s="44">
        <f t="shared" si="15"/>
        <v>355.5499989474008</v>
      </c>
    </row>
    <row r="82" spans="1:9" ht="12.75">
      <c r="A82" s="48">
        <v>0.9</v>
      </c>
      <c r="B82" s="62">
        <v>0.5</v>
      </c>
      <c r="C82" s="53">
        <f>E31-E36</f>
        <v>16.15583121757838</v>
      </c>
      <c r="D82" s="53">
        <f t="shared" si="12"/>
        <v>0.9605084719610272</v>
      </c>
      <c r="E82" s="44">
        <f t="shared" si="13"/>
        <v>1595.089103400373</v>
      </c>
      <c r="F82" s="62">
        <v>0.3</v>
      </c>
      <c r="G82" s="53">
        <f>E33-E36</f>
        <v>6.9317205229698775</v>
      </c>
      <c r="H82" s="53">
        <f t="shared" si="14"/>
        <v>0.9926906787253514</v>
      </c>
      <c r="I82" s="44">
        <f t="shared" si="15"/>
        <v>989.1199073647587</v>
      </c>
    </row>
    <row r="83" spans="1:9" ht="12.75">
      <c r="A83" s="48">
        <v>0.95</v>
      </c>
      <c r="B83" s="62">
        <v>0.55</v>
      </c>
      <c r="C83" s="53">
        <f>E31-E37</f>
        <v>16.91659127747674</v>
      </c>
      <c r="D83" s="53">
        <f t="shared" si="12"/>
        <v>0.9567293646058964</v>
      </c>
      <c r="E83" s="44">
        <f t="shared" si="13"/>
        <v>351.3755743626091</v>
      </c>
      <c r="F83" s="62">
        <v>0.35</v>
      </c>
      <c r="G83" s="53">
        <f>E33-E37</f>
        <v>7.692480582868239</v>
      </c>
      <c r="H83" s="53">
        <f t="shared" si="14"/>
        <v>0.9910007753382756</v>
      </c>
      <c r="I83" s="44">
        <f t="shared" si="15"/>
        <v>231.61240372886186</v>
      </c>
    </row>
    <row r="85" spans="1:8" ht="15.75">
      <c r="A85" t="s">
        <v>259</v>
      </c>
      <c r="E85" s="4" t="s">
        <v>249</v>
      </c>
      <c r="F85" s="7">
        <f>(2/3)*(POWER(G5,2)/10)*SUM(E75:E83)</f>
        <v>6.158092611316675</v>
      </c>
      <c r="G85" t="s">
        <v>62</v>
      </c>
      <c r="H85" s="10" t="s">
        <v>261</v>
      </c>
    </row>
    <row r="86" spans="1:8" ht="15.75">
      <c r="A86" t="s">
        <v>260</v>
      </c>
      <c r="E86" s="4" t="s">
        <v>249</v>
      </c>
      <c r="F86" s="7">
        <f>(2/3)*(POWER(G5,2)/10)*SUM(I75:I83)</f>
        <v>2.859168767163673</v>
      </c>
      <c r="G86" t="s">
        <v>62</v>
      </c>
      <c r="H86" s="10" t="s">
        <v>262</v>
      </c>
    </row>
    <row r="87" ht="12.75">
      <c r="A87" t="s">
        <v>266</v>
      </c>
    </row>
    <row r="88" ht="15.75">
      <c r="B88" t="s">
        <v>263</v>
      </c>
    </row>
    <row r="89" spans="2:6" ht="15.75">
      <c r="B89" t="s">
        <v>173</v>
      </c>
      <c r="C89" s="4" t="s">
        <v>264</v>
      </c>
      <c r="D89">
        <f>0.15*G90</f>
        <v>390</v>
      </c>
      <c r="E89" t="s">
        <v>175</v>
      </c>
      <c r="F89" s="17" t="s">
        <v>265</v>
      </c>
    </row>
    <row r="90" spans="4:9" ht="15.75">
      <c r="D90" s="19" t="s">
        <v>534</v>
      </c>
      <c r="G90">
        <v>2600</v>
      </c>
      <c r="H90" t="s">
        <v>533</v>
      </c>
      <c r="I90" t="s">
        <v>535</v>
      </c>
    </row>
    <row r="91" ht="15.75">
      <c r="C91" t="s">
        <v>177</v>
      </c>
    </row>
    <row r="92" spans="4:6" ht="12.75">
      <c r="D92" t="s">
        <v>178</v>
      </c>
      <c r="E92" s="4" t="s">
        <v>174</v>
      </c>
      <c r="F92">
        <f>D6/100</f>
        <v>10</v>
      </c>
    </row>
    <row r="93" ht="12.75">
      <c r="D93" t="s">
        <v>179</v>
      </c>
    </row>
    <row r="94" ht="15.75">
      <c r="D94" t="s">
        <v>180</v>
      </c>
    </row>
    <row r="95" ht="15.75">
      <c r="D95" t="s">
        <v>181</v>
      </c>
    </row>
    <row r="96" spans="4:7" ht="15.75">
      <c r="D96" s="4" t="s">
        <v>182</v>
      </c>
      <c r="E96">
        <v>0.58</v>
      </c>
      <c r="G96" t="s">
        <v>478</v>
      </c>
    </row>
    <row r="97" spans="4:7" ht="15.75">
      <c r="D97" s="4" t="s">
        <v>183</v>
      </c>
      <c r="E97">
        <v>0.09</v>
      </c>
      <c r="G97" t="s">
        <v>479</v>
      </c>
    </row>
    <row r="98" spans="4:5" ht="15.75">
      <c r="D98" s="4" t="s">
        <v>267</v>
      </c>
      <c r="E98">
        <v>0.085</v>
      </c>
    </row>
    <row r="99" spans="3:5" ht="15.75">
      <c r="C99" s="4" t="s">
        <v>185</v>
      </c>
      <c r="D99" s="7">
        <f>POWER(F92,2)*POWER(D5,2)*((E97*E96/E98)-0.58)</f>
        <v>0.3070588235294113</v>
      </c>
      <c r="E99" t="s">
        <v>175</v>
      </c>
    </row>
    <row r="100" spans="2:4" ht="14.25">
      <c r="B100" s="4" t="s">
        <v>268</v>
      </c>
      <c r="C100" s="7">
        <f>10*11.85*F69/(D89-D99)</f>
        <v>2.5333827986705457</v>
      </c>
      <c r="D100" s="17" t="s">
        <v>269</v>
      </c>
    </row>
    <row r="101" ht="12.75">
      <c r="A101" t="s">
        <v>270</v>
      </c>
    </row>
    <row r="102" ht="15.75">
      <c r="B102" t="s">
        <v>271</v>
      </c>
    </row>
    <row r="103" spans="2:3" ht="15.75">
      <c r="B103" t="s">
        <v>173</v>
      </c>
      <c r="C103" t="s">
        <v>176</v>
      </c>
    </row>
    <row r="104" spans="4:5" ht="15.75">
      <c r="D104" s="4" t="s">
        <v>272</v>
      </c>
      <c r="E104">
        <v>0.0975</v>
      </c>
    </row>
    <row r="105" spans="3:5" ht="15.75">
      <c r="C105" s="4" t="s">
        <v>184</v>
      </c>
      <c r="D105" s="7">
        <f>POWER(F92,2)*POWER(D5,2)*((E97*E96/E104)+0.58)</f>
        <v>10.038461538461538</v>
      </c>
      <c r="E105" t="s">
        <v>175</v>
      </c>
    </row>
    <row r="106" spans="2:6" ht="14.25">
      <c r="B106" s="4" t="s">
        <v>268</v>
      </c>
      <c r="C106" s="14">
        <f>10*11.25*F69/(D89-D105)</f>
        <v>2.466708845617563</v>
      </c>
      <c r="D106" s="17" t="s">
        <v>269</v>
      </c>
      <c r="F106" t="s">
        <v>484</v>
      </c>
    </row>
    <row r="107" ht="12.75">
      <c r="A107" t="s">
        <v>273</v>
      </c>
    </row>
    <row r="108" spans="2:12" ht="15.75">
      <c r="B108" t="s">
        <v>263</v>
      </c>
      <c r="L108" s="14"/>
    </row>
    <row r="109" spans="2:4" ht="14.25">
      <c r="B109" s="4" t="s">
        <v>268</v>
      </c>
      <c r="C109" s="14">
        <f>10*11.85*F85/(D89-D99)</f>
        <v>1.8725870995712224</v>
      </c>
      <c r="D109" s="17" t="s">
        <v>269</v>
      </c>
    </row>
    <row r="110" ht="12.75">
      <c r="A110" t="s">
        <v>274</v>
      </c>
    </row>
    <row r="111" ht="15.75">
      <c r="B111" t="s">
        <v>271</v>
      </c>
    </row>
    <row r="112" spans="2:6" ht="14.25">
      <c r="B112" s="4" t="s">
        <v>268</v>
      </c>
      <c r="C112" s="14">
        <f>10*11.25*F85/(D89-D105)</f>
        <v>1.823304068033331</v>
      </c>
      <c r="D112" s="17" t="s">
        <v>269</v>
      </c>
      <c r="F112" t="s">
        <v>484</v>
      </c>
    </row>
    <row r="113" ht="12.75">
      <c r="A113" t="s">
        <v>275</v>
      </c>
    </row>
    <row r="114" ht="15.75">
      <c r="B114" t="s">
        <v>263</v>
      </c>
    </row>
    <row r="115" spans="2:4" ht="14.25">
      <c r="B115" s="4" t="s">
        <v>268</v>
      </c>
      <c r="C115" s="14">
        <f>10*11.85*F86/(D89-D99)</f>
        <v>0.8694319632427371</v>
      </c>
      <c r="D115" s="17" t="s">
        <v>269</v>
      </c>
    </row>
    <row r="116" ht="12.75">
      <c r="A116" t="s">
        <v>276</v>
      </c>
    </row>
    <row r="117" ht="15.75">
      <c r="B117" t="s">
        <v>271</v>
      </c>
    </row>
    <row r="118" spans="2:6" ht="14.25">
      <c r="B118" s="4" t="s">
        <v>268</v>
      </c>
      <c r="C118" s="14">
        <f>10*11.25*F86/(D89-D105)</f>
        <v>0.8465501208577533</v>
      </c>
      <c r="D118" s="17" t="s">
        <v>269</v>
      </c>
      <c r="F118" t="s">
        <v>484</v>
      </c>
    </row>
    <row r="119" spans="1:4" ht="12.75">
      <c r="A119" t="s">
        <v>485</v>
      </c>
      <c r="B119" s="4"/>
      <c r="C119" s="14"/>
      <c r="D119" s="17"/>
    </row>
    <row r="121" spans="1:9" ht="12.75">
      <c r="A121" s="48">
        <v>1</v>
      </c>
      <c r="B121" s="48" t="s">
        <v>284</v>
      </c>
      <c r="C121" s="48">
        <v>37</v>
      </c>
      <c r="D121" s="48">
        <v>38</v>
      </c>
      <c r="E121" s="48">
        <v>40</v>
      </c>
      <c r="F121" s="48" t="s">
        <v>285</v>
      </c>
      <c r="G121" s="48">
        <v>42</v>
      </c>
      <c r="H121" s="48">
        <v>43</v>
      </c>
      <c r="I121" s="48" t="s">
        <v>291</v>
      </c>
    </row>
    <row r="122" spans="1:9" ht="15.75">
      <c r="A122" s="48" t="s">
        <v>188</v>
      </c>
      <c r="B122" s="48" t="s">
        <v>277</v>
      </c>
      <c r="C122" s="48" t="s">
        <v>278</v>
      </c>
      <c r="D122" s="48" t="s">
        <v>279</v>
      </c>
      <c r="E122" s="48" t="s">
        <v>283</v>
      </c>
      <c r="F122" s="48" t="s">
        <v>286</v>
      </c>
      <c r="G122" s="48" t="s">
        <v>287</v>
      </c>
      <c r="H122" s="48" t="s">
        <v>288</v>
      </c>
      <c r="I122" s="48" t="s">
        <v>304</v>
      </c>
    </row>
    <row r="123" spans="1:9" ht="12.75">
      <c r="A123" s="48" t="s">
        <v>123</v>
      </c>
      <c r="B123" s="48"/>
      <c r="C123" s="63" t="s">
        <v>282</v>
      </c>
      <c r="D123" s="49" t="s">
        <v>482</v>
      </c>
      <c r="E123" s="51" t="s">
        <v>280</v>
      </c>
      <c r="F123" s="49" t="s">
        <v>515</v>
      </c>
      <c r="G123" s="51" t="s">
        <v>292</v>
      </c>
      <c r="H123" s="55" t="s">
        <v>289</v>
      </c>
      <c r="I123" s="52" t="s">
        <v>290</v>
      </c>
    </row>
    <row r="124" spans="1:9" ht="12.75">
      <c r="A124" s="48">
        <v>0.2</v>
      </c>
      <c r="B124" s="43">
        <f>C106</f>
        <v>2.466708845617563</v>
      </c>
      <c r="C124" s="44">
        <f>G5*Adatok!E13*9.81*A124</f>
        <v>294.3</v>
      </c>
      <c r="D124" s="44">
        <f>F134-C124</f>
        <v>107063.2</v>
      </c>
      <c r="E124" s="64">
        <f>0.8*D124/B57</f>
        <v>12.287573670689193</v>
      </c>
      <c r="F124" s="43">
        <v>0.9</v>
      </c>
      <c r="G124" s="43">
        <f aca="true" t="shared" si="16" ref="G124:G132">100*G42/F124</f>
        <v>4.561316975553576</v>
      </c>
      <c r="H124" s="43">
        <v>0.3</v>
      </c>
      <c r="I124" s="64">
        <f aca="true" t="shared" si="17" ref="I124:I132">F124/H124</f>
        <v>3</v>
      </c>
    </row>
    <row r="125" spans="1:9" ht="12.75">
      <c r="A125" s="48">
        <v>0.3</v>
      </c>
      <c r="B125" s="43">
        <f>0.5*(B124+B126)</f>
        <v>2.145006456825447</v>
      </c>
      <c r="C125" s="44">
        <f>G5*Adatok!E13*9.81*A125</f>
        <v>441.45</v>
      </c>
      <c r="D125" s="44">
        <f>F134-C125</f>
        <v>106916.05</v>
      </c>
      <c r="E125" s="64">
        <f aca="true" t="shared" si="18" ref="E125:E132">0.8*D125/B58</f>
        <v>6.633179357407234</v>
      </c>
      <c r="F125" s="43">
        <v>0.805</v>
      </c>
      <c r="G125" s="43">
        <f t="shared" si="16"/>
        <v>5.180570544009266</v>
      </c>
      <c r="H125" s="43">
        <v>0.26</v>
      </c>
      <c r="I125" s="64">
        <f t="shared" si="17"/>
        <v>3.0961538461538463</v>
      </c>
    </row>
    <row r="126" spans="1:9" ht="12.75">
      <c r="A126" s="48">
        <v>0.4</v>
      </c>
      <c r="B126" s="43">
        <f>C112</f>
        <v>1.823304068033331</v>
      </c>
      <c r="C126" s="44">
        <f>G5*Adatok!E13*9.81*A126</f>
        <v>588.6</v>
      </c>
      <c r="D126" s="44">
        <f>F134-C126</f>
        <v>106768.9</v>
      </c>
      <c r="E126" s="64">
        <f t="shared" si="18"/>
        <v>3.9958300360765473</v>
      </c>
      <c r="F126" s="43">
        <v>0.715</v>
      </c>
      <c r="G126" s="43">
        <f t="shared" si="16"/>
        <v>5.366448651381067</v>
      </c>
      <c r="H126" s="43">
        <v>0.22</v>
      </c>
      <c r="I126" s="64">
        <f t="shared" si="17"/>
        <v>3.25</v>
      </c>
    </row>
    <row r="127" spans="1:9" ht="12.75">
      <c r="A127" s="48">
        <v>0.5</v>
      </c>
      <c r="B127" s="43">
        <f>0.5*(B126+B128)</f>
        <v>1.334927094445542</v>
      </c>
      <c r="C127" s="44">
        <f>G5*Adatok!E13*9.81*A127</f>
        <v>735.75</v>
      </c>
      <c r="D127" s="44">
        <f>F134-C127</f>
        <v>106621.75</v>
      </c>
      <c r="E127" s="64">
        <f t="shared" si="18"/>
        <v>2.633969710051109</v>
      </c>
      <c r="F127" s="43">
        <v>0.61</v>
      </c>
      <c r="G127" s="43">
        <f t="shared" si="16"/>
        <v>5.658695457847847</v>
      </c>
      <c r="H127" s="43">
        <v>0.185</v>
      </c>
      <c r="I127" s="64">
        <f t="shared" si="17"/>
        <v>3.2972972972972974</v>
      </c>
    </row>
    <row r="128" spans="1:9" ht="12.75">
      <c r="A128" s="48">
        <v>0.6</v>
      </c>
      <c r="B128" s="43">
        <f>C118</f>
        <v>0.8465501208577533</v>
      </c>
      <c r="C128" s="44">
        <f>G5*Adatok!E13*9.81*A128</f>
        <v>882.9</v>
      </c>
      <c r="D128" s="44">
        <f>F134-C128</f>
        <v>106474.6</v>
      </c>
      <c r="E128" s="64">
        <f t="shared" si="18"/>
        <v>1.8560444301744474</v>
      </c>
      <c r="F128" s="43">
        <v>0.51</v>
      </c>
      <c r="G128" s="43">
        <f t="shared" si="16"/>
        <v>5.9743349657339015</v>
      </c>
      <c r="H128" s="43">
        <v>0.15</v>
      </c>
      <c r="I128" s="64">
        <f t="shared" si="17"/>
        <v>3.4000000000000004</v>
      </c>
    </row>
    <row r="129" spans="1:9" ht="12.75">
      <c r="A129" s="48">
        <v>0.7</v>
      </c>
      <c r="B129" s="43">
        <f>B128-0.5*(B126-B128)</f>
        <v>0.3581731472699644</v>
      </c>
      <c r="C129" s="44">
        <f>G5*Adatok!E13*9.81*A129</f>
        <v>1030.05</v>
      </c>
      <c r="D129" s="44">
        <f>F134-C129</f>
        <v>106327.45</v>
      </c>
      <c r="E129" s="64">
        <f t="shared" si="18"/>
        <v>1.374393397123275</v>
      </c>
      <c r="F129" s="43">
        <v>0.41</v>
      </c>
      <c r="G129" s="43">
        <f t="shared" si="16"/>
        <v>6.507426155844449</v>
      </c>
      <c r="H129" s="43">
        <v>0.12</v>
      </c>
      <c r="I129" s="64">
        <f t="shared" si="17"/>
        <v>3.4166666666666665</v>
      </c>
    </row>
    <row r="130" spans="1:9" ht="12.75">
      <c r="A130" s="48">
        <v>0.8</v>
      </c>
      <c r="B130" s="43">
        <f>B129-0.25*(B126-B128)</f>
        <v>0.11398466047606998</v>
      </c>
      <c r="C130" s="44">
        <f>G5*Adatok!E13*9.81*A130</f>
        <v>1177.2</v>
      </c>
      <c r="D130" s="44">
        <f>F134-C130</f>
        <v>106180.3</v>
      </c>
      <c r="E130" s="64">
        <f t="shared" si="18"/>
        <v>1.0569421405236141</v>
      </c>
      <c r="F130" s="43">
        <v>0.31</v>
      </c>
      <c r="G130" s="43">
        <f t="shared" si="16"/>
        <v>7.1644184513920655</v>
      </c>
      <c r="H130" s="43">
        <v>0.1</v>
      </c>
      <c r="I130" s="64">
        <f t="shared" si="17"/>
        <v>3.0999999999999996</v>
      </c>
    </row>
    <row r="131" spans="1:9" ht="12.75">
      <c r="A131" s="48">
        <v>0.9</v>
      </c>
      <c r="B131" s="43"/>
      <c r="C131" s="44">
        <f>G5*Adatok!E13*9.81*A131</f>
        <v>1324.3500000000001</v>
      </c>
      <c r="D131" s="44">
        <f>F134-C131</f>
        <v>106033.15</v>
      </c>
      <c r="E131" s="64">
        <f t="shared" si="18"/>
        <v>0.8372083303097251</v>
      </c>
      <c r="F131" s="43">
        <v>0.21</v>
      </c>
      <c r="G131" s="43">
        <f t="shared" si="16"/>
        <v>7.804882048588437</v>
      </c>
      <c r="H131" s="43">
        <v>0.08</v>
      </c>
      <c r="I131" s="64">
        <f t="shared" si="17"/>
        <v>2.625</v>
      </c>
    </row>
    <row r="132" spans="1:9" ht="12.75">
      <c r="A132" s="48">
        <v>0.95</v>
      </c>
      <c r="B132" s="43"/>
      <c r="C132" s="44">
        <f>G5*Adatok!E13*9.81*A132</f>
        <v>1397.925</v>
      </c>
      <c r="D132" s="44">
        <f>F134-C132</f>
        <v>105959.575</v>
      </c>
      <c r="E132" s="64">
        <f t="shared" si="18"/>
        <v>0.7519900413596561</v>
      </c>
      <c r="F132" s="43">
        <v>0.155</v>
      </c>
      <c r="G132" s="43">
        <f t="shared" si="16"/>
        <v>7.643635472812068</v>
      </c>
      <c r="H132" s="43">
        <v>0.096</v>
      </c>
      <c r="I132" s="64">
        <f t="shared" si="17"/>
        <v>1.6145833333333333</v>
      </c>
    </row>
    <row r="133" ht="12.75">
      <c r="F133" s="14"/>
    </row>
    <row r="134" spans="1:7" ht="15.75">
      <c r="A134" t="s">
        <v>480</v>
      </c>
      <c r="F134">
        <f>100000+(Adatok!C4-Adatok!C8)*Adatok!E13*9.81</f>
        <v>107357.5</v>
      </c>
      <c r="G134" t="s">
        <v>481</v>
      </c>
    </row>
    <row r="135" ht="15.75">
      <c r="A135" t="s">
        <v>281</v>
      </c>
    </row>
    <row r="137" spans="1:9" ht="12.75">
      <c r="A137" s="48">
        <v>1</v>
      </c>
      <c r="B137" s="48" t="s">
        <v>300</v>
      </c>
      <c r="C137" s="48">
        <v>46</v>
      </c>
      <c r="D137" s="48">
        <v>47</v>
      </c>
      <c r="E137" s="48">
        <v>48</v>
      </c>
      <c r="F137" s="48">
        <v>49</v>
      </c>
      <c r="G137" s="48">
        <v>50</v>
      </c>
      <c r="H137" s="48">
        <v>51</v>
      </c>
      <c r="I137" s="48">
        <v>52</v>
      </c>
    </row>
    <row r="138" spans="1:15" ht="15.75">
      <c r="A138" s="48" t="s">
        <v>188</v>
      </c>
      <c r="B138" s="48" t="s">
        <v>305</v>
      </c>
      <c r="C138" s="51" t="s">
        <v>301</v>
      </c>
      <c r="D138" s="48" t="s">
        <v>299</v>
      </c>
      <c r="E138" s="48" t="s">
        <v>294</v>
      </c>
      <c r="F138" s="48" t="s">
        <v>295</v>
      </c>
      <c r="G138" s="48" t="s">
        <v>296</v>
      </c>
      <c r="H138" s="48" t="s">
        <v>297</v>
      </c>
      <c r="I138" s="48" t="s">
        <v>310</v>
      </c>
      <c r="O138" s="33" t="s">
        <v>306</v>
      </c>
    </row>
    <row r="139" spans="1:15" ht="12.75">
      <c r="A139" s="48" t="s">
        <v>123</v>
      </c>
      <c r="B139" s="52" t="s">
        <v>293</v>
      </c>
      <c r="C139" s="49" t="s">
        <v>302</v>
      </c>
      <c r="D139" s="48" t="s">
        <v>303</v>
      </c>
      <c r="E139" s="55" t="s">
        <v>289</v>
      </c>
      <c r="F139" s="55" t="s">
        <v>289</v>
      </c>
      <c r="G139" s="52" t="s">
        <v>308</v>
      </c>
      <c r="H139" s="51" t="s">
        <v>309</v>
      </c>
      <c r="I139" s="51" t="s">
        <v>311</v>
      </c>
      <c r="O139" s="21" t="s">
        <v>307</v>
      </c>
    </row>
    <row r="140" spans="1:15" ht="12.75">
      <c r="A140" s="48">
        <v>0.2</v>
      </c>
      <c r="B140" s="43">
        <f aca="true" t="shared" si="19" ref="B140:B146">B124/POWER(F124,2)</f>
        <v>3.0453195624908185</v>
      </c>
      <c r="C140" s="43">
        <v>3.2</v>
      </c>
      <c r="D140" s="53">
        <f>F124/C140</f>
        <v>0.28125</v>
      </c>
      <c r="E140" s="56">
        <v>0.087</v>
      </c>
      <c r="F140" s="64">
        <v>3.5</v>
      </c>
      <c r="G140" s="64">
        <v>0.8</v>
      </c>
      <c r="H140" s="65">
        <f>1.1625*E140/G140</f>
        <v>0.126421875</v>
      </c>
      <c r="I140" s="56">
        <f>14.6*H140</f>
        <v>1.8457593749999999</v>
      </c>
      <c r="O140" s="5">
        <f aca="true" t="shared" si="20" ref="O140:O148">6.78*G42/C140</f>
        <v>0.08697861307758725</v>
      </c>
    </row>
    <row r="141" spans="1:15" ht="12.75">
      <c r="A141" s="48">
        <v>0.3</v>
      </c>
      <c r="B141" s="43">
        <f t="shared" si="19"/>
        <v>3.310067446202611</v>
      </c>
      <c r="C141" s="43">
        <v>3.45</v>
      </c>
      <c r="D141" s="53">
        <f aca="true" t="shared" si="21" ref="D141:D148">F125/C141</f>
        <v>0.23333333333333334</v>
      </c>
      <c r="E141" s="56">
        <v>0.082</v>
      </c>
      <c r="F141" s="64">
        <v>2.3</v>
      </c>
      <c r="G141" s="64">
        <v>0.87</v>
      </c>
      <c r="H141" s="65">
        <f aca="true" t="shared" si="22" ref="H141:H148">1.1625*E141/G141</f>
        <v>0.10956896551724139</v>
      </c>
      <c r="I141" s="56">
        <f aca="true" t="shared" si="23" ref="I141:I148">14.6*H141</f>
        <v>1.5997068965517243</v>
      </c>
      <c r="O141" s="5">
        <f t="shared" si="20"/>
        <v>0.08195662600622661</v>
      </c>
    </row>
    <row r="142" spans="1:15" ht="12.75">
      <c r="A142" s="48">
        <v>0.4</v>
      </c>
      <c r="B142" s="43">
        <f t="shared" si="19"/>
        <v>3.5665393281497018</v>
      </c>
      <c r="C142" s="43">
        <v>3.6</v>
      </c>
      <c r="D142" s="53">
        <f t="shared" si="21"/>
        <v>0.1986111111111111</v>
      </c>
      <c r="E142" s="56">
        <v>0.072</v>
      </c>
      <c r="F142" s="64">
        <v>1.8</v>
      </c>
      <c r="G142" s="64">
        <v>0.92</v>
      </c>
      <c r="H142" s="65">
        <f t="shared" si="22"/>
        <v>0.0909782608695652</v>
      </c>
      <c r="I142" s="56">
        <f t="shared" si="23"/>
        <v>1.3282826086956518</v>
      </c>
      <c r="O142" s="5">
        <f t="shared" si="20"/>
        <v>0.07226370313138888</v>
      </c>
    </row>
    <row r="143" spans="1:15" ht="12.75">
      <c r="A143" s="48">
        <v>0.5</v>
      </c>
      <c r="B143" s="43">
        <f t="shared" si="19"/>
        <v>3.5875492997730234</v>
      </c>
      <c r="C143" s="43">
        <v>3.65</v>
      </c>
      <c r="D143" s="53">
        <f t="shared" si="21"/>
        <v>0.16712328767123288</v>
      </c>
      <c r="E143" s="56">
        <v>0.065</v>
      </c>
      <c r="F143" s="64">
        <v>1.45</v>
      </c>
      <c r="G143" s="64">
        <v>0.94</v>
      </c>
      <c r="H143" s="65">
        <f t="shared" si="22"/>
        <v>0.08038563829787235</v>
      </c>
      <c r="I143" s="56">
        <f t="shared" si="23"/>
        <v>1.1736303191489363</v>
      </c>
      <c r="O143" s="5">
        <f t="shared" si="20"/>
        <v>0.06411844568374556</v>
      </c>
    </row>
    <row r="144" spans="1:15" ht="12.75">
      <c r="A144" s="48">
        <v>0.6</v>
      </c>
      <c r="B144" s="43">
        <f t="shared" si="19"/>
        <v>3.254710191686864</v>
      </c>
      <c r="C144" s="43">
        <v>3.675</v>
      </c>
      <c r="D144" s="53">
        <f t="shared" si="21"/>
        <v>0.13877551020408163</v>
      </c>
      <c r="E144" s="56">
        <v>0.056</v>
      </c>
      <c r="F144" s="64">
        <v>1.2</v>
      </c>
      <c r="G144" s="64">
        <v>0.92</v>
      </c>
      <c r="H144" s="65">
        <f t="shared" si="22"/>
        <v>0.07076086956521739</v>
      </c>
      <c r="I144" s="56">
        <f t="shared" si="23"/>
        <v>1.0331086956521738</v>
      </c>
      <c r="O144" s="5">
        <f t="shared" si="20"/>
        <v>0.0562123957673869</v>
      </c>
    </row>
    <row r="145" spans="1:15" ht="12.75">
      <c r="A145" s="48">
        <v>0.7</v>
      </c>
      <c r="B145" s="43">
        <f t="shared" si="19"/>
        <v>2.1307147368825965</v>
      </c>
      <c r="C145" s="43">
        <v>3.625</v>
      </c>
      <c r="D145" s="53">
        <f t="shared" si="21"/>
        <v>0.11310344827586206</v>
      </c>
      <c r="E145" s="56">
        <v>0.05</v>
      </c>
      <c r="F145" s="64">
        <v>0.78</v>
      </c>
      <c r="G145" s="64">
        <v>0.87</v>
      </c>
      <c r="H145" s="65">
        <f t="shared" si="22"/>
        <v>0.06681034482758622</v>
      </c>
      <c r="I145" s="56">
        <f t="shared" si="23"/>
        <v>0.9754310344827587</v>
      </c>
      <c r="O145" s="5">
        <f t="shared" si="20"/>
        <v>0.049901636491079725</v>
      </c>
    </row>
    <row r="146" spans="1:15" ht="12.75">
      <c r="A146" s="48">
        <v>0.8</v>
      </c>
      <c r="B146" s="43">
        <f t="shared" si="19"/>
        <v>1.1861046875761703</v>
      </c>
      <c r="C146" s="43">
        <v>3.4</v>
      </c>
      <c r="D146" s="53">
        <f t="shared" si="21"/>
        <v>0.09117647058823529</v>
      </c>
      <c r="E146" s="56">
        <v>0.045</v>
      </c>
      <c r="F146" s="64">
        <v>0.66</v>
      </c>
      <c r="G146" s="64">
        <v>0.82</v>
      </c>
      <c r="H146" s="65">
        <f t="shared" si="22"/>
        <v>0.06379573170731709</v>
      </c>
      <c r="I146" s="56">
        <f t="shared" si="23"/>
        <v>0.9314176829268295</v>
      </c>
      <c r="O146" s="5">
        <f t="shared" si="20"/>
        <v>0.04428874912098778</v>
      </c>
    </row>
    <row r="147" spans="1:15" ht="12.75">
      <c r="A147" s="48">
        <v>0.9</v>
      </c>
      <c r="B147" s="43"/>
      <c r="C147" s="43">
        <v>2.9</v>
      </c>
      <c r="D147" s="53">
        <f t="shared" si="21"/>
        <v>0.07241379310344828</v>
      </c>
      <c r="E147" s="56">
        <v>0.0385</v>
      </c>
      <c r="F147" s="64">
        <v>0.54</v>
      </c>
      <c r="G147" s="64">
        <v>0.74</v>
      </c>
      <c r="H147" s="65">
        <f t="shared" si="22"/>
        <v>0.06048141891891892</v>
      </c>
      <c r="I147" s="56">
        <f t="shared" si="23"/>
        <v>0.8830287162162163</v>
      </c>
      <c r="O147" s="5">
        <f t="shared" si="20"/>
        <v>0.03831927951993178</v>
      </c>
    </row>
    <row r="148" spans="1:15" ht="12.75">
      <c r="A148" s="48">
        <v>0.95</v>
      </c>
      <c r="B148" s="43"/>
      <c r="C148" s="43">
        <v>1.7</v>
      </c>
      <c r="D148" s="53">
        <f t="shared" si="21"/>
        <v>0.09117647058823529</v>
      </c>
      <c r="E148" s="56">
        <v>0.047</v>
      </c>
      <c r="F148" s="64">
        <v>0.68</v>
      </c>
      <c r="G148" s="64">
        <v>0.69</v>
      </c>
      <c r="H148" s="65">
        <f t="shared" si="22"/>
        <v>0.07918478260869567</v>
      </c>
      <c r="I148" s="56">
        <f t="shared" si="23"/>
        <v>1.1560978260869568</v>
      </c>
      <c r="O148" s="5">
        <f t="shared" si="20"/>
        <v>0.04725115599046001</v>
      </c>
    </row>
    <row r="150" spans="1:8" ht="15.75">
      <c r="A150" t="s">
        <v>379</v>
      </c>
      <c r="E150" s="4" t="s">
        <v>380</v>
      </c>
      <c r="F150">
        <f>(1.3+0.7*0.8)/(2*0.8)</f>
        <v>1.1624999999999999</v>
      </c>
      <c r="H150" t="s">
        <v>381</v>
      </c>
    </row>
    <row r="151" spans="5:6" ht="12.75">
      <c r="E151" s="4"/>
      <c r="F151" s="4" t="s">
        <v>382</v>
      </c>
    </row>
    <row r="152" spans="1:9" ht="12.75">
      <c r="A152" s="48">
        <v>1</v>
      </c>
      <c r="B152" s="48">
        <v>53</v>
      </c>
      <c r="C152" s="66">
        <v>54</v>
      </c>
      <c r="D152" s="66">
        <v>55</v>
      </c>
      <c r="E152" s="66">
        <v>56</v>
      </c>
      <c r="F152" s="66">
        <v>57</v>
      </c>
      <c r="G152" s="66">
        <v>58</v>
      </c>
      <c r="H152" s="66">
        <v>59</v>
      </c>
      <c r="I152" s="66">
        <v>60</v>
      </c>
    </row>
    <row r="153" spans="1:9" ht="15.75">
      <c r="A153" s="48" t="s">
        <v>188</v>
      </c>
      <c r="B153" s="48" t="s">
        <v>298</v>
      </c>
      <c r="C153" s="54" t="s">
        <v>312</v>
      </c>
      <c r="D153" s="48" t="s">
        <v>317</v>
      </c>
      <c r="E153" s="48" t="s">
        <v>318</v>
      </c>
      <c r="F153" s="49" t="s">
        <v>319</v>
      </c>
      <c r="G153" s="49" t="s">
        <v>321</v>
      </c>
      <c r="H153" s="48" t="s">
        <v>344</v>
      </c>
      <c r="I153" s="48" t="s">
        <v>345</v>
      </c>
    </row>
    <row r="154" spans="1:9" ht="12.75">
      <c r="A154" s="48" t="s">
        <v>123</v>
      </c>
      <c r="B154" s="52" t="s">
        <v>313</v>
      </c>
      <c r="C154" s="48" t="s">
        <v>314</v>
      </c>
      <c r="D154" s="48" t="s">
        <v>315</v>
      </c>
      <c r="E154" s="48" t="s">
        <v>316</v>
      </c>
      <c r="F154" s="48" t="s">
        <v>320</v>
      </c>
      <c r="G154" s="48" t="s">
        <v>322</v>
      </c>
      <c r="H154" s="48" t="s">
        <v>323</v>
      </c>
      <c r="I154" s="48" t="s">
        <v>324</v>
      </c>
    </row>
    <row r="155" spans="1:9" ht="12.75">
      <c r="A155" s="48">
        <v>0.2</v>
      </c>
      <c r="B155" s="53">
        <f aca="true" t="shared" si="24" ref="B155:B163">100*G42/C140</f>
        <v>1.2828703993744432</v>
      </c>
      <c r="C155" s="56">
        <f>0.008/B155</f>
        <v>0.006236015737755725</v>
      </c>
      <c r="D155" s="57">
        <f aca="true" t="shared" si="25" ref="D155:D163">C42*C155</f>
        <v>0.0048125664818554365</v>
      </c>
      <c r="E155" s="53">
        <f aca="true" t="shared" si="26" ref="E155:E163">D42*C155</f>
        <v>0.003965740301540011</v>
      </c>
      <c r="F155" s="53">
        <f aca="true" t="shared" si="27" ref="F155:F163">D42-D155</f>
        <v>0.6311287890746394</v>
      </c>
      <c r="G155" s="53">
        <f aca="true" t="shared" si="28" ref="G155:G163">C42+E155</f>
        <v>0.7757031258757829</v>
      </c>
      <c r="H155" s="64">
        <f aca="true" t="shared" si="29" ref="H155:H163">E57*F155</f>
        <v>90.29939286304226</v>
      </c>
      <c r="I155" s="64">
        <f aca="true" t="shared" si="30" ref="I155:I163">E57*G155</f>
        <v>110.9845130203107</v>
      </c>
    </row>
    <row r="156" spans="1:9" ht="12.75">
      <c r="A156" s="48">
        <v>0.3</v>
      </c>
      <c r="B156" s="53">
        <f t="shared" si="24"/>
        <v>1.2087997936021622</v>
      </c>
      <c r="C156" s="56">
        <f aca="true" t="shared" si="31" ref="C156:C163">0.008/B156</f>
        <v>0.0066181348163209105</v>
      </c>
      <c r="D156" s="57">
        <f t="shared" si="25"/>
        <v>0.004162563863665249</v>
      </c>
      <c r="E156" s="53">
        <f t="shared" si="26"/>
        <v>0.00514516963062514</v>
      </c>
      <c r="F156" s="53">
        <f t="shared" si="27"/>
        <v>0.7732724345798077</v>
      </c>
      <c r="G156" s="53">
        <f t="shared" si="28"/>
        <v>0.6341084620374217</v>
      </c>
      <c r="H156" s="64">
        <f t="shared" si="29"/>
        <v>831.6625559600199</v>
      </c>
      <c r="I156" s="64">
        <f t="shared" si="30"/>
        <v>681.9902542892098</v>
      </c>
    </row>
    <row r="157" spans="1:9" ht="12.75">
      <c r="A157" s="48">
        <v>0.4</v>
      </c>
      <c r="B157" s="53">
        <f t="shared" si="24"/>
        <v>1.0658363293715174</v>
      </c>
      <c r="C157" s="56">
        <f t="shared" si="31"/>
        <v>0.007505842857427549</v>
      </c>
      <c r="D157" s="57">
        <f t="shared" si="25"/>
        <v>0.0038936093426502486</v>
      </c>
      <c r="E157" s="53">
        <f t="shared" si="26"/>
        <v>0.006416968387581697</v>
      </c>
      <c r="F157" s="53">
        <f t="shared" si="27"/>
        <v>0.8510361446464924</v>
      </c>
      <c r="G157" s="53">
        <f t="shared" si="28"/>
        <v>0.5251607546097051</v>
      </c>
      <c r="H157" s="64">
        <f t="shared" si="29"/>
        <v>698.0214584168131</v>
      </c>
      <c r="I157" s="64">
        <f t="shared" si="30"/>
        <v>430.73784602675084</v>
      </c>
    </row>
    <row r="158" spans="1:9" ht="12.75">
      <c r="A158" s="48">
        <v>0.5</v>
      </c>
      <c r="B158" s="53">
        <f t="shared" si="24"/>
        <v>0.9456997888458047</v>
      </c>
      <c r="C158" s="56">
        <f t="shared" si="31"/>
        <v>0.008459344174924407</v>
      </c>
      <c r="D158" s="57">
        <f t="shared" si="25"/>
        <v>0.0036940730124634612</v>
      </c>
      <c r="E158" s="53">
        <f t="shared" si="26"/>
        <v>0.007610146414387612</v>
      </c>
      <c r="F158" s="53">
        <f t="shared" si="27"/>
        <v>0.8959201591340393</v>
      </c>
      <c r="G158" s="53">
        <f t="shared" si="28"/>
        <v>0.4442956548978477</v>
      </c>
      <c r="H158" s="64">
        <f t="shared" si="29"/>
        <v>2002.9517060075202</v>
      </c>
      <c r="I158" s="64">
        <f t="shared" si="30"/>
        <v>993.2835318824806</v>
      </c>
    </row>
    <row r="159" spans="1:9" ht="12.75">
      <c r="A159" s="48">
        <v>0.6</v>
      </c>
      <c r="B159" s="53">
        <f t="shared" si="24"/>
        <v>0.8290913829998068</v>
      </c>
      <c r="C159" s="56">
        <f t="shared" si="31"/>
        <v>0.009649117291575885</v>
      </c>
      <c r="D159" s="57">
        <f t="shared" si="25"/>
        <v>0.0036183567385879452</v>
      </c>
      <c r="E159" s="53">
        <f t="shared" si="26"/>
        <v>0.008944996311844068</v>
      </c>
      <c r="F159" s="53">
        <f t="shared" si="27"/>
        <v>0.9234090636507831</v>
      </c>
      <c r="G159" s="53">
        <f t="shared" si="28"/>
        <v>0.38393854538466277</v>
      </c>
      <c r="H159" s="64">
        <f t="shared" si="29"/>
        <v>1291.223774545029</v>
      </c>
      <c r="I159" s="64">
        <f t="shared" si="30"/>
        <v>536.8699499276263</v>
      </c>
    </row>
    <row r="160" spans="1:9" ht="12.75">
      <c r="A160" s="48">
        <v>0.7</v>
      </c>
      <c r="B160" s="53">
        <f t="shared" si="24"/>
        <v>0.7360123376265445</v>
      </c>
      <c r="C160" s="56">
        <f t="shared" si="31"/>
        <v>0.01086938301305926</v>
      </c>
      <c r="D160" s="57">
        <f t="shared" si="25"/>
        <v>0.003560722104893993</v>
      </c>
      <c r="E160" s="53">
        <f t="shared" si="26"/>
        <v>0.010269602970723867</v>
      </c>
      <c r="F160" s="53">
        <f t="shared" si="27"/>
        <v>0.9412585890174785</v>
      </c>
      <c r="G160" s="53">
        <f t="shared" si="28"/>
        <v>0.3378615279784161</v>
      </c>
      <c r="H160" s="64">
        <f t="shared" si="29"/>
        <v>3108.539416390346</v>
      </c>
      <c r="I160" s="64">
        <f t="shared" si="30"/>
        <v>1115.799514880468</v>
      </c>
    </row>
    <row r="161" spans="1:9" ht="12.75">
      <c r="A161" s="48">
        <v>0.8</v>
      </c>
      <c r="B161" s="53">
        <f t="shared" si="24"/>
        <v>0.653226388215159</v>
      </c>
      <c r="C161" s="56">
        <f t="shared" si="31"/>
        <v>0.01224690267314334</v>
      </c>
      <c r="D161" s="57">
        <f t="shared" si="25"/>
        <v>0.003555487215065342</v>
      </c>
      <c r="E161" s="53">
        <f t="shared" si="26"/>
        <v>0.011719434105320631</v>
      </c>
      <c r="F161" s="53">
        <f t="shared" si="27"/>
        <v>0.9533749643529533</v>
      </c>
      <c r="G161" s="53">
        <f t="shared" si="28"/>
        <v>0.30203669308560904</v>
      </c>
      <c r="H161" s="64">
        <f t="shared" si="29"/>
        <v>1701.723914483676</v>
      </c>
      <c r="I161" s="64">
        <f t="shared" si="30"/>
        <v>539.1195310275248</v>
      </c>
    </row>
    <row r="162" spans="1:9" ht="12.75">
      <c r="A162" s="48">
        <v>0.9</v>
      </c>
      <c r="B162" s="53">
        <f t="shared" si="24"/>
        <v>0.5651811138633006</v>
      </c>
      <c r="C162" s="56">
        <f t="shared" si="31"/>
        <v>0.014154754650798445</v>
      </c>
      <c r="D162" s="57">
        <f t="shared" si="25"/>
        <v>0.0036855154123865337</v>
      </c>
      <c r="E162" s="53">
        <f t="shared" si="26"/>
        <v>0.013666530480314363</v>
      </c>
      <c r="F162" s="53">
        <f t="shared" si="27"/>
        <v>0.9618225995264661</v>
      </c>
      <c r="G162" s="53">
        <f t="shared" si="28"/>
        <v>0.2740394937219372</v>
      </c>
      <c r="H162" s="64">
        <f t="shared" si="29"/>
        <v>3194.5428753514148</v>
      </c>
      <c r="I162" s="64">
        <f t="shared" si="30"/>
        <v>910.1791875812899</v>
      </c>
    </row>
    <row r="163" spans="1:9" ht="12.75">
      <c r="A163" s="48">
        <v>0.95</v>
      </c>
      <c r="B163" s="53">
        <f t="shared" si="24"/>
        <v>0.6969197048740415</v>
      </c>
      <c r="C163" s="56">
        <f t="shared" si="31"/>
        <v>0.011479084238902225</v>
      </c>
      <c r="D163" s="57">
        <f t="shared" si="25"/>
        <v>0.0028414245618108794</v>
      </c>
      <c r="E163" s="53">
        <f t="shared" si="26"/>
        <v>0.011121856024214272</v>
      </c>
      <c r="F163" s="53">
        <f t="shared" si="27"/>
        <v>0.9660386526940631</v>
      </c>
      <c r="G163" s="53">
        <f t="shared" si="28"/>
        <v>0.25865245190410063</v>
      </c>
      <c r="H163" s="64">
        <f t="shared" si="29"/>
        <v>645.081041922604</v>
      </c>
      <c r="I163" s="64">
        <f t="shared" si="30"/>
        <v>172.71751260140738</v>
      </c>
    </row>
    <row r="165" spans="1:9" ht="12.75">
      <c r="A165" s="48">
        <v>1</v>
      </c>
      <c r="B165" s="48">
        <v>61</v>
      </c>
      <c r="C165" s="48">
        <v>62</v>
      </c>
      <c r="D165" s="48">
        <v>63</v>
      </c>
      <c r="E165" s="48">
        <v>64</v>
      </c>
      <c r="F165" s="48" t="s">
        <v>329</v>
      </c>
      <c r="G165" s="48">
        <v>66</v>
      </c>
      <c r="H165" s="48">
        <v>67</v>
      </c>
      <c r="I165" s="48">
        <v>68</v>
      </c>
    </row>
    <row r="166" spans="1:9" ht="15.75">
      <c r="A166" s="48" t="s">
        <v>188</v>
      </c>
      <c r="B166" s="49" t="s">
        <v>346</v>
      </c>
      <c r="C166" s="48" t="s">
        <v>412</v>
      </c>
      <c r="D166" s="48" t="s">
        <v>328</v>
      </c>
      <c r="E166" s="48" t="s">
        <v>330</v>
      </c>
      <c r="F166" s="48" t="s">
        <v>333</v>
      </c>
      <c r="G166" s="48" t="s">
        <v>334</v>
      </c>
      <c r="H166" s="48" t="s">
        <v>336</v>
      </c>
      <c r="I166" s="48" t="s">
        <v>389</v>
      </c>
    </row>
    <row r="167" spans="1:9" ht="12.75">
      <c r="A167" s="48" t="s">
        <v>123</v>
      </c>
      <c r="B167" s="48" t="s">
        <v>325</v>
      </c>
      <c r="C167" s="48" t="s">
        <v>326</v>
      </c>
      <c r="D167" s="48" t="s">
        <v>327</v>
      </c>
      <c r="E167" s="48" t="s">
        <v>331</v>
      </c>
      <c r="F167" s="48" t="s">
        <v>332</v>
      </c>
      <c r="G167" s="49" t="s">
        <v>335</v>
      </c>
      <c r="H167" s="48" t="s">
        <v>337</v>
      </c>
      <c r="I167" s="48" t="s">
        <v>338</v>
      </c>
    </row>
    <row r="168" spans="1:9" ht="12.75">
      <c r="A168" s="48">
        <v>0.2</v>
      </c>
      <c r="B168" s="64">
        <f>A168*I155</f>
        <v>22.196902604062142</v>
      </c>
      <c r="C168" s="56">
        <f>C140*H140</f>
        <v>0.40454999999999997</v>
      </c>
      <c r="D168" s="56">
        <f aca="true" t="shared" si="32" ref="D168:D176">E29+I140</f>
        <v>52.355921308532245</v>
      </c>
      <c r="E168" s="53">
        <f>TAN(D168*PI()/180)</f>
        <v>1.2964620073436905</v>
      </c>
      <c r="F168" s="56">
        <f>D5*PI()*A168*E168</f>
        <v>0.2443773310757529</v>
      </c>
      <c r="G168" s="56">
        <v>0.244</v>
      </c>
      <c r="H168" s="64">
        <f aca="true" t="shared" si="33" ref="H168:H176">D57*C140</f>
        <v>1.6</v>
      </c>
      <c r="I168" s="64">
        <f aca="true" t="shared" si="34" ref="I168:I176">F124*H168</f>
        <v>1.4400000000000002</v>
      </c>
    </row>
    <row r="169" spans="1:9" ht="12.75">
      <c r="A169" s="48">
        <v>0.3</v>
      </c>
      <c r="B169" s="64">
        <f aca="true" t="shared" si="35" ref="B169:B176">A169*I156</f>
        <v>204.59707628676293</v>
      </c>
      <c r="C169" s="56">
        <f aca="true" t="shared" si="36" ref="C169:C176">C141*H141</f>
        <v>0.3780129310344828</v>
      </c>
      <c r="D169" s="56">
        <f t="shared" si="32"/>
        <v>40.573384375841655</v>
      </c>
      <c r="E169" s="53">
        <f aca="true" t="shared" si="37" ref="E169:E176">TAN(D169*PI()/180)</f>
        <v>0.8562981951040017</v>
      </c>
      <c r="F169" s="56">
        <f>D5*PI()*A169*E169</f>
        <v>0.2421126107118838</v>
      </c>
      <c r="G169" s="56">
        <v>0.242</v>
      </c>
      <c r="H169" s="64">
        <f t="shared" si="33"/>
        <v>6.9</v>
      </c>
      <c r="I169" s="64">
        <f t="shared" si="34"/>
        <v>5.554500000000001</v>
      </c>
    </row>
    <row r="170" spans="1:9" ht="12.75">
      <c r="A170" s="48">
        <v>0.4</v>
      </c>
      <c r="B170" s="64">
        <f t="shared" si="35"/>
        <v>172.29513841070036</v>
      </c>
      <c r="C170" s="56">
        <f t="shared" si="36"/>
        <v>0.32752173913043475</v>
      </c>
      <c r="D170" s="56">
        <f t="shared" si="32"/>
        <v>32.576307434317215</v>
      </c>
      <c r="E170" s="53">
        <f t="shared" si="37"/>
        <v>0.6389441967041609</v>
      </c>
      <c r="F170" s="56">
        <f>D5*PI()*A170*E170</f>
        <v>0.24087628733035485</v>
      </c>
      <c r="G170" s="56">
        <v>0.241</v>
      </c>
      <c r="H170" s="64">
        <f t="shared" si="33"/>
        <v>3.6</v>
      </c>
      <c r="I170" s="64">
        <f t="shared" si="34"/>
        <v>2.574</v>
      </c>
    </row>
    <row r="171" spans="1:9" ht="12.75">
      <c r="A171" s="48">
        <v>0.5</v>
      </c>
      <c r="B171" s="64">
        <f t="shared" si="35"/>
        <v>496.6417659412403</v>
      </c>
      <c r="C171" s="56">
        <f t="shared" si="36"/>
        <v>0.2934075797872341</v>
      </c>
      <c r="D171" s="56">
        <f t="shared" si="32"/>
        <v>27.066224305094742</v>
      </c>
      <c r="E171" s="53">
        <f t="shared" si="37"/>
        <v>0.5109822129742766</v>
      </c>
      <c r="F171" s="56">
        <f>D5*PI()*A171*E171</f>
        <v>0.24079469495925637</v>
      </c>
      <c r="G171" s="56">
        <v>0.2405</v>
      </c>
      <c r="H171" s="64">
        <f t="shared" si="33"/>
        <v>7.3</v>
      </c>
      <c r="I171" s="64">
        <f t="shared" si="34"/>
        <v>4.452999999999999</v>
      </c>
    </row>
    <row r="172" spans="1:9" ht="12.75">
      <c r="A172" s="48">
        <v>0.6</v>
      </c>
      <c r="B172" s="64">
        <f t="shared" si="35"/>
        <v>322.12196995657575</v>
      </c>
      <c r="C172" s="56">
        <f t="shared" si="36"/>
        <v>0.2600461956521739</v>
      </c>
      <c r="D172" s="56">
        <f t="shared" si="32"/>
        <v>23.05702282666524</v>
      </c>
      <c r="E172" s="53">
        <f t="shared" si="37"/>
        <v>0.4256498695868945</v>
      </c>
      <c r="F172" s="56">
        <f>D5*PI()*A172*E172</f>
        <v>0.24069933059321544</v>
      </c>
      <c r="G172" s="56">
        <v>0.2405</v>
      </c>
      <c r="H172" s="64">
        <f t="shared" si="33"/>
        <v>3.675</v>
      </c>
      <c r="I172" s="64">
        <f t="shared" si="34"/>
        <v>1.87425</v>
      </c>
    </row>
    <row r="173" spans="1:9" ht="12.75">
      <c r="A173" s="48">
        <v>0.7</v>
      </c>
      <c r="B173" s="64">
        <f t="shared" si="35"/>
        <v>781.0596604163276</v>
      </c>
      <c r="C173" s="56">
        <f t="shared" si="36"/>
        <v>0.24218750000000003</v>
      </c>
      <c r="D173" s="56">
        <f t="shared" si="32"/>
        <v>20.098111183637908</v>
      </c>
      <c r="E173" s="53">
        <f t="shared" si="37"/>
        <v>0.36591065288311386</v>
      </c>
      <c r="F173" s="56">
        <f>D5*PI()*A173*E173</f>
        <v>0.2414038659832454</v>
      </c>
      <c r="G173" s="56">
        <v>0.241</v>
      </c>
      <c r="H173" s="64">
        <f t="shared" si="33"/>
        <v>7.25</v>
      </c>
      <c r="I173" s="64">
        <f t="shared" si="34"/>
        <v>2.9724999999999997</v>
      </c>
    </row>
    <row r="174" spans="1:9" ht="12.75">
      <c r="A174" s="48">
        <v>0.8</v>
      </c>
      <c r="B174" s="64">
        <f t="shared" si="35"/>
        <v>431.2956248220198</v>
      </c>
      <c r="C174" s="56">
        <f t="shared" si="36"/>
        <v>0.2169054878048781</v>
      </c>
      <c r="D174" s="56">
        <f t="shared" si="32"/>
        <v>17.808368489001403</v>
      </c>
      <c r="E174" s="53">
        <f t="shared" si="37"/>
        <v>0.32122599678084945</v>
      </c>
      <c r="F174" s="56">
        <f>D5*PI()*A174*E174</f>
        <v>0.24219869559090607</v>
      </c>
      <c r="G174" s="56">
        <v>0.242</v>
      </c>
      <c r="H174" s="64">
        <f t="shared" si="33"/>
        <v>3.4</v>
      </c>
      <c r="I174" s="64">
        <f t="shared" si="34"/>
        <v>1.054</v>
      </c>
    </row>
    <row r="175" spans="1:9" ht="12.75">
      <c r="A175" s="48">
        <v>0.9</v>
      </c>
      <c r="B175" s="64">
        <f t="shared" si="35"/>
        <v>819.1612688231609</v>
      </c>
      <c r="C175" s="56">
        <f t="shared" si="36"/>
        <v>0.17539611486486487</v>
      </c>
      <c r="D175" s="56">
        <f t="shared" si="32"/>
        <v>15.975222324259404</v>
      </c>
      <c r="E175" s="53">
        <f t="shared" si="37"/>
        <v>0.28627743426820806</v>
      </c>
      <c r="F175" s="56">
        <f>D5*PI()*A175*E175</f>
        <v>0.24282911278409508</v>
      </c>
      <c r="G175" s="56">
        <v>0.244</v>
      </c>
      <c r="H175" s="64">
        <f t="shared" si="33"/>
        <v>5.8</v>
      </c>
      <c r="I175" s="64">
        <f t="shared" si="34"/>
        <v>1.218</v>
      </c>
    </row>
    <row r="176" spans="1:9" ht="12.75">
      <c r="A176" s="48">
        <v>0.95</v>
      </c>
      <c r="B176" s="64">
        <f t="shared" si="35"/>
        <v>164.081636971337</v>
      </c>
      <c r="C176" s="56">
        <f t="shared" si="36"/>
        <v>0.13461413043478265</v>
      </c>
      <c r="D176" s="56">
        <f t="shared" si="32"/>
        <v>15.487531374231782</v>
      </c>
      <c r="E176" s="53">
        <f t="shared" si="37"/>
        <v>0.27709020282035257</v>
      </c>
      <c r="F176" s="56">
        <f>D5*PI()*A176*E176</f>
        <v>0.24809379548520571</v>
      </c>
      <c r="G176" s="56">
        <v>0.247</v>
      </c>
      <c r="H176" s="64">
        <f t="shared" si="33"/>
        <v>0.85</v>
      </c>
      <c r="I176" s="64">
        <f t="shared" si="34"/>
        <v>0.13175</v>
      </c>
    </row>
    <row r="178" spans="1:5" ht="12.75">
      <c r="A178" s="48">
        <v>1</v>
      </c>
      <c r="B178" s="48">
        <v>69</v>
      </c>
      <c r="C178" s="48">
        <v>70</v>
      </c>
      <c r="D178" s="36"/>
      <c r="E178" s="35"/>
    </row>
    <row r="179" spans="1:5" ht="14.25">
      <c r="A179" s="48" t="s">
        <v>188</v>
      </c>
      <c r="B179" s="48" t="s">
        <v>339</v>
      </c>
      <c r="C179" s="51" t="s">
        <v>392</v>
      </c>
      <c r="D179" s="36"/>
      <c r="E179" s="4"/>
    </row>
    <row r="180" spans="1:5" ht="14.25">
      <c r="A180" s="48" t="s">
        <v>123</v>
      </c>
      <c r="B180" s="48" t="s">
        <v>340</v>
      </c>
      <c r="C180" s="48" t="s">
        <v>341</v>
      </c>
      <c r="D180" s="36"/>
      <c r="E180" s="4"/>
    </row>
    <row r="181" spans="1:5" ht="12.75">
      <c r="A181" s="48">
        <v>0.2</v>
      </c>
      <c r="B181" s="43">
        <f>A181*A181</f>
        <v>0.04000000000000001</v>
      </c>
      <c r="C181" s="56">
        <f aca="true" t="shared" si="38" ref="C181:C189">I168*B181</f>
        <v>0.05760000000000002</v>
      </c>
      <c r="E181" s="4"/>
    </row>
    <row r="182" spans="1:5" ht="12.75">
      <c r="A182" s="48">
        <v>0.3</v>
      </c>
      <c r="B182" s="43">
        <f aca="true" t="shared" si="39" ref="B182:B189">A182*A182</f>
        <v>0.09</v>
      </c>
      <c r="C182" s="56">
        <f t="shared" si="38"/>
        <v>0.49990500000000004</v>
      </c>
      <c r="E182" s="4"/>
    </row>
    <row r="183" spans="1:5" ht="12.75">
      <c r="A183" s="48">
        <v>0.4</v>
      </c>
      <c r="B183" s="43">
        <f t="shared" si="39"/>
        <v>0.16000000000000003</v>
      </c>
      <c r="C183" s="56">
        <f t="shared" si="38"/>
        <v>0.41184000000000004</v>
      </c>
      <c r="E183" s="4"/>
    </row>
    <row r="184" spans="1:5" ht="12.75">
      <c r="A184" s="48">
        <v>0.5</v>
      </c>
      <c r="B184" s="43">
        <f t="shared" si="39"/>
        <v>0.25</v>
      </c>
      <c r="C184" s="56">
        <f t="shared" si="38"/>
        <v>1.1132499999999999</v>
      </c>
      <c r="E184" s="4"/>
    </row>
    <row r="185" spans="1:5" ht="12.75">
      <c r="A185" s="48">
        <v>0.6</v>
      </c>
      <c r="B185" s="43">
        <f t="shared" si="39"/>
        <v>0.36</v>
      </c>
      <c r="C185" s="56">
        <f t="shared" si="38"/>
        <v>0.6747299999999999</v>
      </c>
      <c r="E185" s="4"/>
    </row>
    <row r="186" spans="1:5" ht="12.75">
      <c r="A186" s="48">
        <v>0.7</v>
      </c>
      <c r="B186" s="43">
        <f t="shared" si="39"/>
        <v>0.48999999999999994</v>
      </c>
      <c r="C186" s="56">
        <f t="shared" si="38"/>
        <v>1.4565249999999996</v>
      </c>
      <c r="E186" s="4"/>
    </row>
    <row r="187" spans="1:5" ht="12.75">
      <c r="A187" s="48">
        <v>0.8</v>
      </c>
      <c r="B187" s="43">
        <f t="shared" si="39"/>
        <v>0.6400000000000001</v>
      </c>
      <c r="C187" s="56">
        <f t="shared" si="38"/>
        <v>0.6745600000000002</v>
      </c>
      <c r="E187" s="4"/>
    </row>
    <row r="188" spans="1:5" ht="12.75">
      <c r="A188" s="48">
        <v>0.9</v>
      </c>
      <c r="B188" s="43">
        <f t="shared" si="39"/>
        <v>0.81</v>
      </c>
      <c r="C188" s="56">
        <f t="shared" si="38"/>
        <v>0.98658</v>
      </c>
      <c r="E188" s="4"/>
    </row>
    <row r="189" spans="1:5" ht="12.75">
      <c r="A189" s="48">
        <v>0.95</v>
      </c>
      <c r="B189" s="43">
        <f t="shared" si="39"/>
        <v>0.9025</v>
      </c>
      <c r="C189" s="56">
        <f t="shared" si="38"/>
        <v>0.118904375</v>
      </c>
      <c r="E189" s="4"/>
    </row>
    <row r="191" spans="1:7" ht="12.75">
      <c r="A191" t="s">
        <v>342</v>
      </c>
      <c r="D191" s="4" t="s">
        <v>343</v>
      </c>
      <c r="E191" s="15">
        <f>(2/3)*(G5/10)*D8*SUM(H155:H163)</f>
        <v>542.5618454376186</v>
      </c>
      <c r="F191" t="s">
        <v>22</v>
      </c>
      <c r="G191" t="s">
        <v>348</v>
      </c>
    </row>
    <row r="192" spans="1:7" ht="15.75">
      <c r="A192" s="34" t="s">
        <v>350</v>
      </c>
      <c r="D192" s="4" t="s">
        <v>347</v>
      </c>
      <c r="E192" s="7">
        <f>(2/3)*(POWER(G5,2)/10)*D8*SUM(B168:B176)</f>
        <v>20.480706265393117</v>
      </c>
      <c r="F192" t="s">
        <v>62</v>
      </c>
      <c r="G192" t="s">
        <v>349</v>
      </c>
    </row>
    <row r="193" spans="1:7" ht="15.75">
      <c r="A193" t="s">
        <v>351</v>
      </c>
      <c r="D193" s="4" t="s">
        <v>72</v>
      </c>
      <c r="E193" s="31">
        <f>2*PI()*E192*D6/60</f>
        <v>2144.7345447896487</v>
      </c>
      <c r="F193" t="s">
        <v>84</v>
      </c>
      <c r="G193" t="s">
        <v>352</v>
      </c>
    </row>
    <row r="194" spans="1:5" ht="15.75">
      <c r="A194" t="s">
        <v>384</v>
      </c>
      <c r="D194" s="4" t="s">
        <v>383</v>
      </c>
      <c r="E194" s="14">
        <f>G172/D5</f>
        <v>0.8016666666666666</v>
      </c>
    </row>
    <row r="195" spans="1:7" ht="15.75">
      <c r="A195" t="s">
        <v>388</v>
      </c>
      <c r="D195" s="4" t="s">
        <v>48</v>
      </c>
      <c r="E195">
        <f>(2/3)*(G5/1000)*D8*SUM(H168:H176)</f>
        <v>0.016149999999999998</v>
      </c>
      <c r="F195" t="s">
        <v>47</v>
      </c>
      <c r="G195" t="s">
        <v>386</v>
      </c>
    </row>
    <row r="196" spans="1:7" ht="15.75">
      <c r="A196" t="s">
        <v>385</v>
      </c>
      <c r="D196" s="4" t="s">
        <v>50</v>
      </c>
      <c r="E196" s="14">
        <f>E195/(D5*D5*PI()/4)</f>
        <v>0.2284757627496986</v>
      </c>
      <c r="G196" t="s">
        <v>387</v>
      </c>
    </row>
    <row r="197" spans="1:7" ht="15.75">
      <c r="A197" t="s">
        <v>486</v>
      </c>
      <c r="D197" s="4" t="s">
        <v>186</v>
      </c>
      <c r="E197" s="15">
        <f>(2/3)*9.806*2700*(((G5/100000)*D8*SUM(I168:I176))+0.05*(POWER(0.055,2)*PI()/4-POWER(0.022,2)*PI()/4))</f>
        <v>4.014089100512076</v>
      </c>
      <c r="F197" t="s">
        <v>22</v>
      </c>
      <c r="G197" s="10" t="s">
        <v>483</v>
      </c>
    </row>
    <row r="198" spans="1:7" ht="15.75">
      <c r="A198" s="10" t="s">
        <v>487</v>
      </c>
      <c r="D198" s="4" t="s">
        <v>186</v>
      </c>
      <c r="E198" s="15">
        <f>(2/3)*(POWER(G5,3)/10)*D8*2700*SUM(C181:C189)+0.5*(2700*0.05*(POWER(0.055,2)*PI()/4-POWER(0.022,2)*PI()/4))*(POWER(0.055/2,2)+POWER(0.022/2,2))</f>
        <v>14.565281505184743</v>
      </c>
      <c r="F198" t="s">
        <v>390</v>
      </c>
      <c r="G198" s="9" t="s">
        <v>391</v>
      </c>
    </row>
    <row r="199" ht="12.75">
      <c r="A199" t="s">
        <v>491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3"/>
  <sheetViews>
    <sheetView workbookViewId="0" topLeftCell="A1">
      <selection activeCell="A1" sqref="A1"/>
    </sheetView>
  </sheetViews>
  <sheetFormatPr defaultColWidth="9.140625" defaultRowHeight="12.75"/>
  <cols>
    <col min="3" max="3" width="8.8515625" style="0" customWidth="1"/>
  </cols>
  <sheetData>
    <row r="1" ht="12.75">
      <c r="A1" s="3" t="s">
        <v>133</v>
      </c>
    </row>
    <row r="2" ht="12.75">
      <c r="A2" s="6" t="s">
        <v>131</v>
      </c>
    </row>
    <row r="3" spans="2:6" ht="12.75">
      <c r="B3" s="35"/>
      <c r="C3" s="18" t="s">
        <v>132</v>
      </c>
      <c r="D3" s="18"/>
      <c r="E3" s="18"/>
      <c r="F3" s="18"/>
    </row>
    <row r="4" spans="1:7" ht="12.75">
      <c r="A4" s="4"/>
      <c r="C4" s="4" t="s">
        <v>126</v>
      </c>
      <c r="D4" s="4" t="s">
        <v>124</v>
      </c>
      <c r="E4" s="4" t="s">
        <v>124</v>
      </c>
      <c r="F4" s="4" t="s">
        <v>128</v>
      </c>
      <c r="G4" s="4" t="s">
        <v>128</v>
      </c>
    </row>
    <row r="5" spans="2:7" ht="12.75">
      <c r="B5" s="4" t="s">
        <v>393</v>
      </c>
      <c r="C5" s="4" t="s">
        <v>127</v>
      </c>
      <c r="D5" s="4" t="s">
        <v>488</v>
      </c>
      <c r="E5" s="4" t="s">
        <v>125</v>
      </c>
      <c r="F5" s="4" t="s">
        <v>137</v>
      </c>
      <c r="G5" s="4" t="s">
        <v>129</v>
      </c>
    </row>
    <row r="6" spans="2:7" ht="12.75">
      <c r="B6" s="4" t="s">
        <v>394</v>
      </c>
      <c r="F6" t="s">
        <v>124</v>
      </c>
      <c r="G6" t="s">
        <v>130</v>
      </c>
    </row>
    <row r="7" spans="1:7" ht="15.75">
      <c r="A7" s="4" t="s">
        <v>123</v>
      </c>
      <c r="B7" t="s">
        <v>395</v>
      </c>
      <c r="C7" s="4" t="s">
        <v>396</v>
      </c>
      <c r="D7" s="4" t="s">
        <v>397</v>
      </c>
      <c r="E7" s="4" t="s">
        <v>398</v>
      </c>
      <c r="F7" s="4" t="s">
        <v>139</v>
      </c>
      <c r="G7" s="4" t="s">
        <v>138</v>
      </c>
    </row>
    <row r="8" spans="1:7" ht="12.75">
      <c r="A8" s="4">
        <v>0.2</v>
      </c>
      <c r="B8" s="4">
        <v>13628</v>
      </c>
      <c r="C8" s="7">
        <f>10*örvény!C140</f>
        <v>32</v>
      </c>
      <c r="D8" s="7">
        <f>-0.5*C8</f>
        <v>-16</v>
      </c>
      <c r="E8" s="7">
        <f>C8+D8</f>
        <v>16</v>
      </c>
      <c r="F8" s="7">
        <f>E8-G8</f>
        <v>6.4</v>
      </c>
      <c r="G8" s="7">
        <f>0.3*C8</f>
        <v>9.6</v>
      </c>
    </row>
    <row r="9" spans="1:7" ht="12.75">
      <c r="A9" s="4">
        <v>0.3</v>
      </c>
      <c r="B9" s="4">
        <v>11623</v>
      </c>
      <c r="C9" s="7">
        <f>10*örvény!C141</f>
        <v>34.5</v>
      </c>
      <c r="D9" s="7">
        <f aca="true" t="shared" si="0" ref="D9:D17">-0.5*C9</f>
        <v>-17.25</v>
      </c>
      <c r="E9" s="7">
        <f aca="true" t="shared" si="1" ref="E9:E17">C9+D9</f>
        <v>17.25</v>
      </c>
      <c r="F9" s="7">
        <f aca="true" t="shared" si="2" ref="F9:F17">E9-G9</f>
        <v>6.9</v>
      </c>
      <c r="G9" s="7">
        <f aca="true" t="shared" si="3" ref="G9:G17">0.3*C9</f>
        <v>10.35</v>
      </c>
    </row>
    <row r="10" spans="1:7" ht="12.75">
      <c r="A10" s="4">
        <v>0.4</v>
      </c>
      <c r="B10" s="4">
        <v>9620</v>
      </c>
      <c r="C10" s="7">
        <f>10*örvény!C142</f>
        <v>36</v>
      </c>
      <c r="D10" s="7">
        <f t="shared" si="0"/>
        <v>-18</v>
      </c>
      <c r="E10" s="7">
        <f t="shared" si="1"/>
        <v>18</v>
      </c>
      <c r="F10" s="7">
        <f t="shared" si="2"/>
        <v>7.200000000000001</v>
      </c>
      <c r="G10" s="7">
        <f t="shared" si="3"/>
        <v>10.799999999999999</v>
      </c>
    </row>
    <row r="11" spans="1:7" ht="12.75">
      <c r="A11" s="4">
        <v>0.5</v>
      </c>
      <c r="B11" s="4">
        <v>8617</v>
      </c>
      <c r="C11" s="7">
        <f>10*örvény!C143</f>
        <v>36.5</v>
      </c>
      <c r="D11" s="7">
        <f t="shared" si="0"/>
        <v>-18.25</v>
      </c>
      <c r="E11" s="7">
        <f t="shared" si="1"/>
        <v>18.25</v>
      </c>
      <c r="F11" s="7">
        <f t="shared" si="2"/>
        <v>7.300000000000001</v>
      </c>
      <c r="G11" s="7">
        <f t="shared" si="3"/>
        <v>10.95</v>
      </c>
    </row>
    <row r="12" spans="1:7" ht="12.75">
      <c r="A12" s="4">
        <v>0.6</v>
      </c>
      <c r="B12" s="4">
        <v>7614</v>
      </c>
      <c r="C12" s="7">
        <f>10*örvény!C144</f>
        <v>36.75</v>
      </c>
      <c r="D12" s="7">
        <f t="shared" si="0"/>
        <v>-18.375</v>
      </c>
      <c r="E12" s="7">
        <f t="shared" si="1"/>
        <v>18.375</v>
      </c>
      <c r="F12" s="7">
        <f t="shared" si="2"/>
        <v>7.35</v>
      </c>
      <c r="G12" s="7">
        <f t="shared" si="3"/>
        <v>11.025</v>
      </c>
    </row>
    <row r="13" spans="1:7" ht="12.75">
      <c r="A13" s="4">
        <v>0.7</v>
      </c>
      <c r="B13" s="4">
        <v>7611</v>
      </c>
      <c r="C13" s="7">
        <f>10*örvény!C145</f>
        <v>36.25</v>
      </c>
      <c r="D13" s="7">
        <f t="shared" si="0"/>
        <v>-18.125</v>
      </c>
      <c r="E13" s="7">
        <f t="shared" si="1"/>
        <v>18.125</v>
      </c>
      <c r="F13" s="7">
        <f t="shared" si="2"/>
        <v>7.25</v>
      </c>
      <c r="G13" s="7">
        <f t="shared" si="3"/>
        <v>10.875</v>
      </c>
    </row>
    <row r="14" spans="1:7" ht="12.75">
      <c r="A14" s="4">
        <v>0.8</v>
      </c>
      <c r="B14" s="4">
        <v>6609</v>
      </c>
      <c r="C14" s="7">
        <f>10*örvény!C146</f>
        <v>34</v>
      </c>
      <c r="D14" s="7">
        <f t="shared" si="0"/>
        <v>-17</v>
      </c>
      <c r="E14" s="7">
        <f t="shared" si="1"/>
        <v>17</v>
      </c>
      <c r="F14" s="7">
        <f t="shared" si="2"/>
        <v>6.800000000000001</v>
      </c>
      <c r="G14" s="7">
        <f t="shared" si="3"/>
        <v>10.2</v>
      </c>
    </row>
    <row r="15" spans="1:7" ht="12.75">
      <c r="A15" s="4">
        <v>0.9</v>
      </c>
      <c r="B15" s="4">
        <v>6607</v>
      </c>
      <c r="C15" s="7">
        <f>10*örvény!C147</f>
        <v>29</v>
      </c>
      <c r="D15" s="7">
        <f t="shared" si="0"/>
        <v>-14.5</v>
      </c>
      <c r="E15" s="7">
        <f t="shared" si="1"/>
        <v>14.5</v>
      </c>
      <c r="F15" s="7">
        <f t="shared" si="2"/>
        <v>5.800000000000001</v>
      </c>
      <c r="G15" s="7">
        <f t="shared" si="3"/>
        <v>8.7</v>
      </c>
    </row>
    <row r="16" spans="1:7" ht="12.75">
      <c r="A16" s="4">
        <v>1</v>
      </c>
      <c r="C16" s="7">
        <v>0</v>
      </c>
      <c r="D16" s="7">
        <f t="shared" si="0"/>
        <v>0</v>
      </c>
      <c r="E16" s="7">
        <f t="shared" si="1"/>
        <v>0</v>
      </c>
      <c r="F16" s="7">
        <f t="shared" si="2"/>
        <v>0</v>
      </c>
      <c r="G16" s="7">
        <f t="shared" si="3"/>
        <v>0</v>
      </c>
    </row>
    <row r="17" spans="1:9" ht="12.75">
      <c r="A17" s="4">
        <v>0.95</v>
      </c>
      <c r="B17" s="4">
        <v>8609</v>
      </c>
      <c r="C17" s="7">
        <f>10*örvény!C148</f>
        <v>17</v>
      </c>
      <c r="D17" s="7">
        <f t="shared" si="0"/>
        <v>-8.5</v>
      </c>
      <c r="E17" s="7">
        <f t="shared" si="1"/>
        <v>8.5</v>
      </c>
      <c r="F17" s="7">
        <f t="shared" si="2"/>
        <v>3.4000000000000004</v>
      </c>
      <c r="G17" s="7">
        <f t="shared" si="3"/>
        <v>5.1</v>
      </c>
      <c r="I17" s="67"/>
    </row>
    <row r="18" spans="1:7" ht="12.75">
      <c r="A18" s="17" t="s">
        <v>489</v>
      </c>
      <c r="C18" s="7"/>
      <c r="D18" s="7"/>
      <c r="E18" s="7"/>
      <c r="F18" s="7"/>
      <c r="G18" s="7"/>
    </row>
    <row r="19" spans="1:7" ht="12.75">
      <c r="A19" s="4"/>
      <c r="C19" s="7"/>
      <c r="D19" s="7"/>
      <c r="E19" s="7"/>
      <c r="F19" s="7"/>
      <c r="G19" s="7"/>
    </row>
    <row r="20" spans="1:7" ht="12.75">
      <c r="A20" s="4"/>
      <c r="C20" s="7"/>
      <c r="D20" s="7"/>
      <c r="E20" s="7"/>
      <c r="F20" s="7"/>
      <c r="G20" s="7"/>
    </row>
    <row r="21" spans="1:7" ht="12.75">
      <c r="A21" s="4"/>
      <c r="C21" s="7"/>
      <c r="D21" s="7"/>
      <c r="E21" s="7"/>
      <c r="F21" s="7"/>
      <c r="G21" s="7"/>
    </row>
    <row r="22" spans="1:7" ht="12.75">
      <c r="A22" s="4"/>
      <c r="C22" s="7"/>
      <c r="D22" s="7"/>
      <c r="E22" s="7"/>
      <c r="F22" s="7"/>
      <c r="G22" s="7"/>
    </row>
    <row r="23" spans="1:7" ht="12.75">
      <c r="A23" s="4"/>
      <c r="C23" s="7"/>
      <c r="D23" s="7"/>
      <c r="E23" s="7"/>
      <c r="F23" s="7"/>
      <c r="G23" s="7"/>
    </row>
    <row r="24" spans="1:7" ht="12.75">
      <c r="A24" s="4"/>
      <c r="C24" s="7"/>
      <c r="D24" s="7"/>
      <c r="E24" s="7"/>
      <c r="F24" s="7"/>
      <c r="G24" s="7"/>
    </row>
    <row r="34" ht="12.75">
      <c r="A34" s="3" t="s">
        <v>134</v>
      </c>
    </row>
    <row r="35" spans="1:2" ht="15.75">
      <c r="A35" s="4" t="s">
        <v>123</v>
      </c>
      <c r="B35" t="s">
        <v>135</v>
      </c>
    </row>
    <row r="36" spans="1:3" ht="12.75">
      <c r="A36" s="4">
        <v>0.2</v>
      </c>
      <c r="B36" s="15">
        <f>10*örvény!F124</f>
        <v>9</v>
      </c>
      <c r="C36" s="7"/>
    </row>
    <row r="37" spans="1:3" ht="12.75">
      <c r="A37" s="4">
        <v>0.3</v>
      </c>
      <c r="B37" s="15">
        <f>10*örvény!F125</f>
        <v>8.05</v>
      </c>
      <c r="C37" s="7"/>
    </row>
    <row r="38" spans="1:12" ht="12.75">
      <c r="A38" s="4">
        <v>0.4</v>
      </c>
      <c r="B38" s="15">
        <f>10*örvény!F126</f>
        <v>7.1499999999999995</v>
      </c>
      <c r="C38" s="7"/>
      <c r="L38" s="7"/>
    </row>
    <row r="39" spans="1:3" ht="12.75">
      <c r="A39" s="4">
        <v>0.5</v>
      </c>
      <c r="B39" s="15">
        <f>10*örvény!F127</f>
        <v>6.1</v>
      </c>
      <c r="C39" s="7"/>
    </row>
    <row r="40" spans="1:3" ht="12.75">
      <c r="A40" s="4">
        <v>0.6</v>
      </c>
      <c r="B40" s="15">
        <f>10*örvény!F128</f>
        <v>5.1</v>
      </c>
      <c r="C40" s="7"/>
    </row>
    <row r="41" spans="1:3" ht="12.75">
      <c r="A41" s="4">
        <v>0.7</v>
      </c>
      <c r="B41" s="15">
        <f>10*örvény!F129</f>
        <v>4.1</v>
      </c>
      <c r="C41" s="7"/>
    </row>
    <row r="42" spans="1:3" ht="12.75">
      <c r="A42" s="4">
        <v>0.8</v>
      </c>
      <c r="B42" s="15">
        <f>10*örvény!F130</f>
        <v>3.1</v>
      </c>
      <c r="C42" s="7"/>
    </row>
    <row r="43" spans="1:3" ht="12.75">
      <c r="A43" s="4">
        <v>0.9</v>
      </c>
      <c r="B43" s="15">
        <f>10*örvény!F131</f>
        <v>2.1</v>
      </c>
      <c r="C43" s="7"/>
    </row>
    <row r="44" spans="1:3" ht="12.75">
      <c r="A44" s="4">
        <v>1</v>
      </c>
      <c r="B44" s="15">
        <f>B43-(B42-B43)</f>
        <v>1.1</v>
      </c>
      <c r="C44" s="7"/>
    </row>
    <row r="46" ht="12.75">
      <c r="A46" s="3" t="s">
        <v>136</v>
      </c>
    </row>
    <row r="47" ht="15.75">
      <c r="A47" t="s">
        <v>403</v>
      </c>
    </row>
    <row r="48" spans="1:14" ht="12.75">
      <c r="A48" s="68"/>
      <c r="B48" s="39"/>
      <c r="C48" s="71" t="s">
        <v>400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1:16" ht="12.75">
      <c r="A49" s="48"/>
      <c r="B49" s="42" t="s">
        <v>401</v>
      </c>
      <c r="C49" s="48">
        <v>100</v>
      </c>
      <c r="D49" s="48">
        <v>90</v>
      </c>
      <c r="E49" s="48">
        <v>80</v>
      </c>
      <c r="F49" s="48">
        <v>70</v>
      </c>
      <c r="G49" s="48">
        <v>60</v>
      </c>
      <c r="H49" s="48">
        <v>50</v>
      </c>
      <c r="I49" s="48">
        <v>40</v>
      </c>
      <c r="J49" s="48">
        <v>30</v>
      </c>
      <c r="K49" s="48">
        <v>20</v>
      </c>
      <c r="L49" s="48">
        <v>10</v>
      </c>
      <c r="M49" s="48">
        <v>5</v>
      </c>
      <c r="N49" s="48">
        <v>0</v>
      </c>
      <c r="P49" s="4">
        <v>2.5</v>
      </c>
    </row>
    <row r="50" spans="1:16" ht="15.75">
      <c r="A50" s="72" t="s">
        <v>405</v>
      </c>
      <c r="B50" s="42" t="s">
        <v>402</v>
      </c>
      <c r="C50" s="64">
        <f>((100-C49)/POWER((1-0.6),2))*(1+0.01*C49-2*0.6)</f>
        <v>0</v>
      </c>
      <c r="D50" s="64">
        <f>((100-D49)/POWER((1-0.6),2))*(1+0.01*D49-2*0.6)</f>
        <v>43.749999999999986</v>
      </c>
      <c r="E50" s="64">
        <f>((100-E49)/POWER((1-0.6),2))*(1+0.01*E49-2*0.6)</f>
        <v>75</v>
      </c>
      <c r="F50" s="64">
        <f>((100-F49)/POWER((1-0.6),2))*(1+0.01*F49-2*0.6)</f>
        <v>93.75000000000003</v>
      </c>
      <c r="G50" s="64">
        <f>((100-G49)/POWER((1-0.6),2))*(1+0.01*G49-2*0.6)</f>
        <v>100.00000000000001</v>
      </c>
      <c r="H50" s="74">
        <f>(H49/POWER(0.6,2))*(2*0.6-0.01*H49)</f>
        <v>97.22222222222221</v>
      </c>
      <c r="I50" s="74">
        <f aca="true" t="shared" si="4" ref="I50:N50">(I49/POWER(0.6,2))*(2*0.6-0.01*I49)</f>
        <v>88.88888888888889</v>
      </c>
      <c r="J50" s="75">
        <f t="shared" si="4"/>
        <v>75</v>
      </c>
      <c r="K50" s="75">
        <f t="shared" si="4"/>
        <v>55.55555555555556</v>
      </c>
      <c r="L50" s="75">
        <f t="shared" si="4"/>
        <v>30.555555555555554</v>
      </c>
      <c r="M50" s="75">
        <f t="shared" si="4"/>
        <v>15.972222222222221</v>
      </c>
      <c r="N50" s="75">
        <f t="shared" si="4"/>
        <v>0</v>
      </c>
      <c r="O50" s="4"/>
      <c r="P50" s="4"/>
    </row>
    <row r="51" spans="1:16" ht="15.75">
      <c r="A51" s="73" t="s">
        <v>411</v>
      </c>
      <c r="B51" s="42" t="s">
        <v>404</v>
      </c>
      <c r="C51" s="64">
        <f>500*(0.2969*POWER(0.01*C49,0.5)-0.126*0.01*C49-0.3516*POWER(0.01*C49,2)+0.2843*POWER(0.01*C49,3)-0.1015*POWER(0.01*C49,4))</f>
        <v>1.0499999999999816</v>
      </c>
      <c r="D51" s="64">
        <f aca="true" t="shared" si="5" ref="D51:N51">500*(0.2969*POWER(0.01*D49,0.5)-0.126*0.01*D49-0.3516*POWER(0.01*D49,2)+0.2843*POWER(0.01*D49,3)-0.1015*POWER(0.01*D49,4))</f>
        <v>12.064310595598732</v>
      </c>
      <c r="E51" s="64">
        <f t="shared" si="5"/>
        <v>21.859316503937503</v>
      </c>
      <c r="F51" s="64">
        <f t="shared" si="5"/>
        <v>30.5325559389835</v>
      </c>
      <c r="G51" s="64">
        <f t="shared" si="5"/>
        <v>38.028075548898215</v>
      </c>
      <c r="H51" s="64">
        <f t="shared" si="5"/>
        <v>44.11687666714299</v>
      </c>
      <c r="I51" s="64">
        <f t="shared" si="5"/>
        <v>48.35842373039918</v>
      </c>
      <c r="J51" s="64">
        <f t="shared" si="5"/>
        <v>50.01438866164191</v>
      </c>
      <c r="K51" s="64">
        <f t="shared" si="5"/>
        <v>47.81285825196875</v>
      </c>
      <c r="L51" s="64">
        <f t="shared" si="5"/>
        <v>39.02308686519959</v>
      </c>
      <c r="M51" s="64">
        <f t="shared" si="5"/>
        <v>29.62238068848438</v>
      </c>
      <c r="N51" s="64">
        <f t="shared" si="5"/>
        <v>0</v>
      </c>
      <c r="O51" s="4"/>
      <c r="P51" s="4"/>
    </row>
    <row r="52" spans="1:16" ht="15.75">
      <c r="A52" s="30"/>
      <c r="C52" t="s">
        <v>406</v>
      </c>
      <c r="H52" t="s">
        <v>407</v>
      </c>
      <c r="I52" s="4"/>
      <c r="J52" s="4"/>
      <c r="K52" s="17"/>
      <c r="L52" s="17" t="s">
        <v>410</v>
      </c>
      <c r="M52" s="4"/>
      <c r="N52" s="4"/>
      <c r="O52" s="4"/>
      <c r="P52" s="4"/>
    </row>
    <row r="53" spans="1:16" ht="15.75">
      <c r="A53" s="30"/>
      <c r="C53" t="s">
        <v>408</v>
      </c>
      <c r="D53" s="4"/>
      <c r="E53" s="4"/>
      <c r="F53" s="4"/>
      <c r="G53" s="4"/>
      <c r="H53" s="4"/>
      <c r="I53" s="4"/>
      <c r="J53" s="4"/>
      <c r="L53" s="17" t="s">
        <v>409</v>
      </c>
      <c r="M53" s="4"/>
      <c r="N53" s="4"/>
      <c r="O53" s="4"/>
      <c r="P53" s="4"/>
    </row>
    <row r="54" spans="1:16" ht="12.75">
      <c r="A54" s="30"/>
      <c r="D54" s="4"/>
      <c r="E54" s="4"/>
      <c r="F54" s="4"/>
      <c r="G54" s="4"/>
      <c r="H54" s="4"/>
      <c r="I54" s="4"/>
      <c r="J54" s="4"/>
      <c r="L54" s="17"/>
      <c r="M54" s="4"/>
      <c r="N54" s="4"/>
      <c r="O54" s="4"/>
      <c r="P54" s="4"/>
    </row>
    <row r="55" spans="1:16" ht="12.75">
      <c r="A55" t="s">
        <v>490</v>
      </c>
      <c r="D55" s="4"/>
      <c r="E55" s="4"/>
      <c r="F55" s="4"/>
      <c r="G55" s="4"/>
      <c r="H55" s="4"/>
      <c r="I55" s="4"/>
      <c r="J55" s="4"/>
      <c r="L55" s="17"/>
      <c r="M55" s="4"/>
      <c r="N55" s="4"/>
      <c r="O55" s="4"/>
      <c r="P55" s="4"/>
    </row>
    <row r="56" spans="1:16" ht="12.75">
      <c r="A56" s="30"/>
      <c r="D56" s="4"/>
      <c r="E56" s="4"/>
      <c r="F56" s="4"/>
      <c r="G56" s="4"/>
      <c r="H56" s="4"/>
      <c r="I56" s="4"/>
      <c r="J56" s="4"/>
      <c r="L56" s="17"/>
      <c r="M56" s="4"/>
      <c r="N56" s="4"/>
      <c r="O56" s="4"/>
      <c r="P56" s="4"/>
    </row>
    <row r="57" spans="1:16" ht="15.75">
      <c r="A57" s="30"/>
      <c r="B57" t="s">
        <v>417</v>
      </c>
      <c r="D57" t="s">
        <v>418</v>
      </c>
      <c r="E57" s="4"/>
      <c r="F57" s="17" t="s">
        <v>419</v>
      </c>
      <c r="G57" s="4"/>
      <c r="H57" s="17" t="s">
        <v>420</v>
      </c>
      <c r="I57" s="4"/>
      <c r="J57" s="4"/>
      <c r="L57" s="17"/>
      <c r="M57" s="4"/>
      <c r="N57" s="4"/>
      <c r="O57" s="4"/>
      <c r="P57" s="4"/>
    </row>
    <row r="58" spans="4:16" ht="12.7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76"/>
      <c r="B59" s="47"/>
      <c r="C59" s="59" t="s">
        <v>400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4"/>
      <c r="P59" s="4"/>
    </row>
    <row r="60" spans="1:16" ht="12.75">
      <c r="A60" s="77"/>
      <c r="B60" s="42" t="s">
        <v>401</v>
      </c>
      <c r="C60" s="48">
        <v>100</v>
      </c>
      <c r="D60" s="48">
        <v>90</v>
      </c>
      <c r="E60" s="48">
        <v>80</v>
      </c>
      <c r="F60" s="48">
        <v>70</v>
      </c>
      <c r="G60" s="48">
        <v>60</v>
      </c>
      <c r="H60" s="48">
        <v>50</v>
      </c>
      <c r="I60" s="48">
        <v>40</v>
      </c>
      <c r="J60" s="48">
        <v>30</v>
      </c>
      <c r="K60" s="48">
        <v>20</v>
      </c>
      <c r="L60" s="48">
        <v>10</v>
      </c>
      <c r="M60" s="48">
        <v>5</v>
      </c>
      <c r="N60" s="48">
        <v>0</v>
      </c>
      <c r="O60" s="4"/>
      <c r="P60" s="4"/>
    </row>
    <row r="61" spans="1:15" ht="12.75">
      <c r="A61" s="98">
        <v>0.95</v>
      </c>
      <c r="B61" s="48" t="s">
        <v>188</v>
      </c>
      <c r="C61" s="64">
        <f>C17</f>
        <v>17</v>
      </c>
      <c r="D61" s="64">
        <f>C61*D49/100</f>
        <v>15.3</v>
      </c>
      <c r="E61" s="64">
        <f>C61*E49/100</f>
        <v>13.6</v>
      </c>
      <c r="F61" s="64">
        <f>C61*F49/100</f>
        <v>11.9</v>
      </c>
      <c r="G61" s="64">
        <f>C61*G49/100</f>
        <v>10.2</v>
      </c>
      <c r="H61" s="64">
        <f>C61*H49/100</f>
        <v>8.5</v>
      </c>
      <c r="I61" s="64">
        <f>C61*I49/100</f>
        <v>6.8</v>
      </c>
      <c r="J61" s="64">
        <f>C61*J49/100</f>
        <v>5.1</v>
      </c>
      <c r="K61" s="64">
        <f>C61*K49/100</f>
        <v>3.4</v>
      </c>
      <c r="L61" s="64">
        <f>C61*L49/100</f>
        <v>1.7</v>
      </c>
      <c r="M61" s="64">
        <f>C61*M49/100</f>
        <v>0.85</v>
      </c>
      <c r="N61" s="64">
        <f>C61*N49/100</f>
        <v>0</v>
      </c>
      <c r="O61" s="18"/>
    </row>
    <row r="62" spans="1:15" ht="15.75">
      <c r="A62" s="99"/>
      <c r="B62" s="48" t="s">
        <v>423</v>
      </c>
      <c r="C62" s="64">
        <f>G62*C50/100</f>
        <v>0</v>
      </c>
      <c r="D62" s="64">
        <f>G62*D50/100</f>
        <v>0.5889368206521739</v>
      </c>
      <c r="E62" s="64">
        <f>G62*E50/100</f>
        <v>1.00960597826087</v>
      </c>
      <c r="F62" s="64">
        <f>G62*F50/100</f>
        <v>1.2620074728260877</v>
      </c>
      <c r="G62" s="64">
        <f>10*örvény!C176</f>
        <v>1.3461413043478265</v>
      </c>
      <c r="H62" s="75">
        <f>G62*H50/100</f>
        <v>1.3087484903381645</v>
      </c>
      <c r="I62" s="75">
        <f>G62*I50/100</f>
        <v>1.1965700483091792</v>
      </c>
      <c r="J62" s="75">
        <f>G62*J50/100</f>
        <v>1.00960597826087</v>
      </c>
      <c r="K62" s="75">
        <f>G62*K50/100</f>
        <v>0.7478562801932369</v>
      </c>
      <c r="L62" s="75">
        <f>G62*L50/100</f>
        <v>0.41132095410628033</v>
      </c>
      <c r="M62" s="75">
        <f>G62*M50/100</f>
        <v>0.2150086805555556</v>
      </c>
      <c r="N62" s="75">
        <f>G62*N50/100</f>
        <v>0</v>
      </c>
      <c r="O62" s="18"/>
    </row>
    <row r="63" spans="1:15" ht="15.75">
      <c r="A63" s="99"/>
      <c r="B63" s="48" t="s">
        <v>424</v>
      </c>
      <c r="C63" s="64">
        <f>2*J63*C51/100</f>
        <v>0.016799999999999708</v>
      </c>
      <c r="D63" s="64">
        <f>2*J63*D51/100</f>
        <v>0.19302896952957974</v>
      </c>
      <c r="E63" s="64">
        <f>2*J63*E51/100</f>
        <v>0.3497490640630001</v>
      </c>
      <c r="F63" s="64">
        <f>2*J63*F51/100</f>
        <v>0.488520895023736</v>
      </c>
      <c r="G63" s="64">
        <f>2*J63*G51/100</f>
        <v>0.6084492087823715</v>
      </c>
      <c r="H63" s="64">
        <f>2*J63*H51/100</f>
        <v>0.7058700266742879</v>
      </c>
      <c r="I63" s="64">
        <f>2*J63*I51/100</f>
        <v>0.7737347796863869</v>
      </c>
      <c r="J63" s="64">
        <f>0.5*(B43-0.5*(B43-B44))</f>
        <v>0.8</v>
      </c>
      <c r="K63" s="64">
        <f>2*J63*K51/100</f>
        <v>0.7650057320315</v>
      </c>
      <c r="L63" s="64">
        <f>2*J63*L51/100</f>
        <v>0.6243693898431935</v>
      </c>
      <c r="M63" s="64">
        <f>2*J63*M51/100</f>
        <v>0.4739580910157501</v>
      </c>
      <c r="N63" s="64">
        <f>2*J63*N51/100</f>
        <v>0</v>
      </c>
      <c r="O63" s="18"/>
    </row>
    <row r="64" spans="1:15" ht="15.75">
      <c r="A64" s="99"/>
      <c r="B64" s="48" t="s">
        <v>413</v>
      </c>
      <c r="C64" s="42"/>
      <c r="D64" s="56">
        <f>(E62-C62)/(C61-E61)</f>
        <v>0.2969429347826088</v>
      </c>
      <c r="E64" s="56">
        <f aca="true" t="shared" si="6" ref="E64:M64">(F62-D62)/(D61-F61)</f>
        <v>0.19796195652173934</v>
      </c>
      <c r="F64" s="56">
        <f t="shared" si="6"/>
        <v>0.09898097826086957</v>
      </c>
      <c r="G64" s="56">
        <f t="shared" si="6"/>
        <v>0.0137473580917873</v>
      </c>
      <c r="H64" s="56">
        <f t="shared" si="6"/>
        <v>-0.0439915458937198</v>
      </c>
      <c r="I64" s="56">
        <f t="shared" si="6"/>
        <v>-0.08798309178743957</v>
      </c>
      <c r="J64" s="56">
        <f t="shared" si="6"/>
        <v>-0.13197463768115952</v>
      </c>
      <c r="K64" s="56">
        <f t="shared" si="6"/>
        <v>-0.17596618357487934</v>
      </c>
      <c r="L64" s="56">
        <f t="shared" si="6"/>
        <v>-0.20895984299516918</v>
      </c>
      <c r="M64" s="56">
        <f t="shared" si="6"/>
        <v>-0.24195350241545902</v>
      </c>
      <c r="N64" s="42"/>
      <c r="O64" s="18"/>
    </row>
    <row r="65" spans="1:15" ht="12.75">
      <c r="A65" s="99"/>
      <c r="B65" s="54" t="s">
        <v>421</v>
      </c>
      <c r="C65" s="57">
        <f>D65-(E65-D65)</f>
        <v>0.38186444930407387</v>
      </c>
      <c r="D65" s="57">
        <f aca="true" t="shared" si="7" ref="D65:M65">ATAN(D64)</f>
        <v>0.2886497930611958</v>
      </c>
      <c r="E65" s="57">
        <f t="shared" si="7"/>
        <v>0.19543513681831776</v>
      </c>
      <c r="F65" s="57">
        <f t="shared" si="7"/>
        <v>0.09865961861389741</v>
      </c>
      <c r="G65" s="57">
        <f t="shared" si="7"/>
        <v>0.01374649215290885</v>
      </c>
      <c r="H65" s="57">
        <f t="shared" si="7"/>
        <v>-0.04396320049714715</v>
      </c>
      <c r="I65" s="57">
        <f t="shared" si="7"/>
        <v>-0.08775711402090085</v>
      </c>
      <c r="J65" s="57">
        <f t="shared" si="7"/>
        <v>-0.1312163324539721</v>
      </c>
      <c r="K65" s="57">
        <f t="shared" si="7"/>
        <v>-0.17418298585367</v>
      </c>
      <c r="L65" s="57">
        <f t="shared" si="7"/>
        <v>-0.20599576254266994</v>
      </c>
      <c r="M65" s="57">
        <f t="shared" si="7"/>
        <v>-0.23739126909157188</v>
      </c>
      <c r="N65" s="57">
        <f>M65-(L65-M65)</f>
        <v>-0.2687867756404738</v>
      </c>
      <c r="O65" s="18"/>
    </row>
    <row r="66" spans="1:15" ht="15.75">
      <c r="A66" s="99"/>
      <c r="B66" s="48" t="s">
        <v>414</v>
      </c>
      <c r="C66" s="64">
        <f aca="true" t="shared" si="8" ref="C66:N66">C61-C63*SIN(C65)</f>
        <v>16.993739458632888</v>
      </c>
      <c r="D66" s="64">
        <f t="shared" si="8"/>
        <v>15.245052733086002</v>
      </c>
      <c r="E66" s="64">
        <f t="shared" si="8"/>
        <v>13.532081037806256</v>
      </c>
      <c r="F66" s="64">
        <f t="shared" si="8"/>
        <v>11.851880866582869</v>
      </c>
      <c r="G66" s="64">
        <f t="shared" si="8"/>
        <v>10.19163622114354</v>
      </c>
      <c r="H66" s="64">
        <f t="shared" si="8"/>
        <v>8.531022310124955</v>
      </c>
      <c r="I66" s="64">
        <f t="shared" si="8"/>
        <v>6.867813610727951</v>
      </c>
      <c r="J66" s="64">
        <f t="shared" si="8"/>
        <v>5.204672092271359</v>
      </c>
      <c r="K66" s="64">
        <f t="shared" si="8"/>
        <v>3.532578204587968</v>
      </c>
      <c r="L66" s="64">
        <f t="shared" si="8"/>
        <v>1.8277097456782014</v>
      </c>
      <c r="M66" s="64">
        <f t="shared" si="8"/>
        <v>0.9614597104983054</v>
      </c>
      <c r="N66" s="64">
        <f t="shared" si="8"/>
        <v>0</v>
      </c>
      <c r="O66" s="18"/>
    </row>
    <row r="67" spans="1:15" ht="15.75">
      <c r="A67" s="99"/>
      <c r="B67" s="48" t="s">
        <v>415</v>
      </c>
      <c r="C67" s="64">
        <f>C62+C63*COS(C65)</f>
        <v>0.015589920519061206</v>
      </c>
      <c r="D67" s="64">
        <f aca="true" t="shared" si="9" ref="D67:N67">D62+D63*COS(D65)</f>
        <v>0.7739800073312114</v>
      </c>
      <c r="E67" s="64">
        <f t="shared" si="9"/>
        <v>1.3526969609279598</v>
      </c>
      <c r="F67" s="64">
        <f t="shared" si="9"/>
        <v>1.7481527328811215</v>
      </c>
      <c r="G67" s="64">
        <f t="shared" si="9"/>
        <v>1.9545330259147247</v>
      </c>
      <c r="H67" s="64">
        <f t="shared" si="9"/>
        <v>2.0139364871387846</v>
      </c>
      <c r="I67" s="64">
        <f t="shared" si="9"/>
        <v>1.9673273534943976</v>
      </c>
      <c r="J67" s="64">
        <f t="shared" si="9"/>
        <v>1.8027287638997243</v>
      </c>
      <c r="K67" s="64">
        <f t="shared" si="9"/>
        <v>1.5012862966574616</v>
      </c>
      <c r="L67" s="64">
        <f t="shared" si="9"/>
        <v>1.0224897980700174</v>
      </c>
      <c r="M67" s="64">
        <f t="shared" si="9"/>
        <v>0.675674508433995</v>
      </c>
      <c r="N67" s="64">
        <f t="shared" si="9"/>
        <v>0</v>
      </c>
      <c r="O67" s="18"/>
    </row>
    <row r="68" spans="1:15" ht="15.75">
      <c r="A68" s="99"/>
      <c r="B68" s="48" t="s">
        <v>416</v>
      </c>
      <c r="C68" s="64">
        <f>C61+C63*SIN(C65)</f>
        <v>17.006260541367112</v>
      </c>
      <c r="D68" s="64">
        <f aca="true" t="shared" si="10" ref="D68:N68">D61+D63*SIN(D65)</f>
        <v>15.354947266914</v>
      </c>
      <c r="E68" s="64">
        <f t="shared" si="10"/>
        <v>13.667918962193744</v>
      </c>
      <c r="F68" s="64">
        <f t="shared" si="10"/>
        <v>11.948119133417132</v>
      </c>
      <c r="G68" s="64">
        <f t="shared" si="10"/>
        <v>10.208363778856459</v>
      </c>
      <c r="H68" s="64">
        <f t="shared" si="10"/>
        <v>8.468977689875045</v>
      </c>
      <c r="I68" s="64">
        <f t="shared" si="10"/>
        <v>6.732186389272049</v>
      </c>
      <c r="J68" s="64">
        <f t="shared" si="10"/>
        <v>4.99532790772864</v>
      </c>
      <c r="K68" s="64">
        <f t="shared" si="10"/>
        <v>3.267421795412032</v>
      </c>
      <c r="L68" s="64">
        <f t="shared" si="10"/>
        <v>1.5722902543217985</v>
      </c>
      <c r="M68" s="64">
        <f t="shared" si="10"/>
        <v>0.7385402895016946</v>
      </c>
      <c r="N68" s="64">
        <f t="shared" si="10"/>
        <v>0</v>
      </c>
      <c r="O68" s="18"/>
    </row>
    <row r="69" spans="1:14" ht="15.75">
      <c r="A69" s="100"/>
      <c r="B69" s="78" t="s">
        <v>399</v>
      </c>
      <c r="C69" s="64">
        <f>C62-C63*COS(C65)</f>
        <v>-0.015589920519061206</v>
      </c>
      <c r="D69" s="64">
        <f aca="true" t="shared" si="11" ref="D69:N69">D62-D63*COS(D65)</f>
        <v>0.4038936339731364</v>
      </c>
      <c r="E69" s="64">
        <f t="shared" si="11"/>
        <v>0.66651499559378</v>
      </c>
      <c r="F69" s="64">
        <f t="shared" si="11"/>
        <v>0.7758622127710539</v>
      </c>
      <c r="G69" s="64">
        <f t="shared" si="11"/>
        <v>0.7377495827809284</v>
      </c>
      <c r="H69" s="64">
        <f t="shared" si="11"/>
        <v>0.6035604935375447</v>
      </c>
      <c r="I69" s="64">
        <f t="shared" si="11"/>
        <v>0.4258127431239609</v>
      </c>
      <c r="J69" s="64">
        <f t="shared" si="11"/>
        <v>0.21648319262201565</v>
      </c>
      <c r="K69" s="64">
        <f t="shared" si="11"/>
        <v>-0.005573736270987895</v>
      </c>
      <c r="L69" s="64">
        <f t="shared" si="11"/>
        <v>-0.19984788985745672</v>
      </c>
      <c r="M69" s="64">
        <f t="shared" si="11"/>
        <v>-0.24565714732288385</v>
      </c>
      <c r="N69" s="64">
        <f t="shared" si="11"/>
        <v>0</v>
      </c>
    </row>
    <row r="70" spans="1:14" ht="12.75">
      <c r="A70" s="96">
        <v>0.9</v>
      </c>
      <c r="B70" s="48" t="s">
        <v>188</v>
      </c>
      <c r="C70" s="64">
        <f>C15</f>
        <v>29</v>
      </c>
      <c r="D70" s="64">
        <f>C70*D49/100</f>
        <v>26.1</v>
      </c>
      <c r="E70" s="64">
        <f>C70*E49/100</f>
        <v>23.2</v>
      </c>
      <c r="F70" s="64">
        <f>C70*F49/100</f>
        <v>20.3</v>
      </c>
      <c r="G70" s="64">
        <f>C70*G49/100</f>
        <v>17.4</v>
      </c>
      <c r="H70" s="64">
        <f>C70*H49/100</f>
        <v>14.5</v>
      </c>
      <c r="I70" s="64">
        <f>C70*I49/100</f>
        <v>11.6</v>
      </c>
      <c r="J70" s="64">
        <f>C70*J49/100</f>
        <v>8.7</v>
      </c>
      <c r="K70" s="64">
        <f>C70*K49/100</f>
        <v>5.8</v>
      </c>
      <c r="L70" s="64">
        <f>C70*L49/100</f>
        <v>2.9</v>
      </c>
      <c r="M70" s="64">
        <f>C70*M49/100</f>
        <v>1.45</v>
      </c>
      <c r="N70" s="64">
        <f>C70*N49/100</f>
        <v>0</v>
      </c>
    </row>
    <row r="71" spans="1:14" ht="15.75">
      <c r="A71" s="96"/>
      <c r="B71" s="48" t="s">
        <v>423</v>
      </c>
      <c r="C71" s="64">
        <f>G71*C50/100</f>
        <v>0</v>
      </c>
      <c r="D71" s="64">
        <f>G71*D50/100</f>
        <v>0.7673580025337836</v>
      </c>
      <c r="E71" s="64">
        <f>G71*E50/100</f>
        <v>1.3154708614864865</v>
      </c>
      <c r="F71" s="64">
        <f>G71*F50/100</f>
        <v>1.6443385768581087</v>
      </c>
      <c r="G71" s="64">
        <f>10*örvény!C175</f>
        <v>1.7539611486486486</v>
      </c>
      <c r="H71" s="75">
        <f>G71*H50/100</f>
        <v>1.7052400056306305</v>
      </c>
      <c r="I71" s="75">
        <f>G71*I50/100</f>
        <v>1.5590765765765764</v>
      </c>
      <c r="J71" s="75">
        <f>G71*J50/100</f>
        <v>1.3154708614864865</v>
      </c>
      <c r="K71" s="75">
        <f>G71*K50/100</f>
        <v>0.9744228603603604</v>
      </c>
      <c r="L71" s="75">
        <f>G71*L50/100</f>
        <v>0.5359325731981981</v>
      </c>
      <c r="M71" s="75">
        <f>G71*M50/100</f>
        <v>0.2801465723536036</v>
      </c>
      <c r="N71" s="75">
        <f>G71*N50/100</f>
        <v>0</v>
      </c>
    </row>
    <row r="72" spans="1:14" ht="15.75">
      <c r="A72" s="96"/>
      <c r="B72" s="48" t="s">
        <v>424</v>
      </c>
      <c r="C72" s="64">
        <f>2*J72*C51/100</f>
        <v>0.022049999999999615</v>
      </c>
      <c r="D72" s="64">
        <f>2*J72*D51/100</f>
        <v>0.2533505225075734</v>
      </c>
      <c r="E72" s="64">
        <f>2*J72*E51/100</f>
        <v>0.4590456465826876</v>
      </c>
      <c r="F72" s="64">
        <f>2*J72*F51/100</f>
        <v>0.6411836747186536</v>
      </c>
      <c r="G72" s="64">
        <f>2*J72*G51/100</f>
        <v>0.7985895865268625</v>
      </c>
      <c r="H72" s="64">
        <f>2*J72*H51/100</f>
        <v>0.9264544100100028</v>
      </c>
      <c r="I72" s="64">
        <f>2*J72*I51/100</f>
        <v>1.015526898338383</v>
      </c>
      <c r="J72" s="64">
        <f>0.5*B43</f>
        <v>1.05</v>
      </c>
      <c r="K72" s="64">
        <f>2*J72*K51/100</f>
        <v>1.0040700232913438</v>
      </c>
      <c r="L72" s="64">
        <f>2*J72*L51/100</f>
        <v>0.8194848241691913</v>
      </c>
      <c r="M72" s="64">
        <f>2*J72*M51/100</f>
        <v>0.622069994458172</v>
      </c>
      <c r="N72" s="64">
        <f>2*J72*N51/100</f>
        <v>0</v>
      </c>
    </row>
    <row r="73" spans="1:14" ht="15.75">
      <c r="A73" s="96"/>
      <c r="B73" s="48" t="s">
        <v>413</v>
      </c>
      <c r="C73" s="42"/>
      <c r="D73" s="56">
        <f>(E71-C71)/(C70-E70)</f>
        <v>0.2268053209459459</v>
      </c>
      <c r="E73" s="56">
        <f aca="true" t="shared" si="12" ref="E73:M73">(F71-D71)/(D70-F70)</f>
        <v>0.1512035472972974</v>
      </c>
      <c r="F73" s="56">
        <f t="shared" si="12"/>
        <v>0.07560177364864863</v>
      </c>
      <c r="G73" s="56">
        <f t="shared" si="12"/>
        <v>0.010500246340089964</v>
      </c>
      <c r="H73" s="56">
        <f t="shared" si="12"/>
        <v>-0.033600788288288316</v>
      </c>
      <c r="I73" s="56">
        <f t="shared" si="12"/>
        <v>-0.06720157657657654</v>
      </c>
      <c r="J73" s="56">
        <f t="shared" si="12"/>
        <v>-0.10080236486486482</v>
      </c>
      <c r="K73" s="56">
        <f t="shared" si="12"/>
        <v>-0.1344031531531532</v>
      </c>
      <c r="L73" s="56">
        <f t="shared" si="12"/>
        <v>-0.1596037443693694</v>
      </c>
      <c r="M73" s="56">
        <f t="shared" si="12"/>
        <v>-0.18480433558558557</v>
      </c>
      <c r="N73" s="42"/>
    </row>
    <row r="74" spans="1:14" ht="12.75">
      <c r="A74" s="96"/>
      <c r="B74" s="54" t="s">
        <v>421</v>
      </c>
      <c r="C74" s="57">
        <f>D74-(E74-D74)</f>
        <v>0.2959974114133838</v>
      </c>
      <c r="D74" s="57">
        <f aca="true" t="shared" si="13" ref="D74:M74">ATAN(D73)</f>
        <v>0.2230321070329851</v>
      </c>
      <c r="E74" s="57">
        <f t="shared" si="13"/>
        <v>0.15006680265258637</v>
      </c>
      <c r="F74" s="57">
        <f t="shared" si="13"/>
        <v>0.07545822838954447</v>
      </c>
      <c r="G74" s="57">
        <f t="shared" si="13"/>
        <v>0.010499860463456948</v>
      </c>
      <c r="H74" s="57">
        <f t="shared" si="13"/>
        <v>-0.03358815160540496</v>
      </c>
      <c r="I74" s="57">
        <f t="shared" si="13"/>
        <v>-0.06710068787125156</v>
      </c>
      <c r="J74" s="57">
        <f t="shared" si="13"/>
        <v>-0.10046300987695818</v>
      </c>
      <c r="K74" s="57">
        <f t="shared" si="13"/>
        <v>-0.1336025176236812</v>
      </c>
      <c r="L74" s="57">
        <f t="shared" si="13"/>
        <v>-0.15826887362527262</v>
      </c>
      <c r="M74" s="57">
        <f t="shared" si="13"/>
        <v>-0.18274257020828175</v>
      </c>
      <c r="N74" s="57">
        <f>M74-(L74-M74)</f>
        <v>-0.20721626679129088</v>
      </c>
    </row>
    <row r="75" spans="1:14" ht="15.75">
      <c r="A75" s="96"/>
      <c r="B75" s="48" t="s">
        <v>414</v>
      </c>
      <c r="C75" s="64">
        <f aca="true" t="shared" si="14" ref="C75:N75">C70-C72*SIN(C74)</f>
        <v>28.993568146622533</v>
      </c>
      <c r="D75" s="64">
        <f t="shared" si="14"/>
        <v>26.043961995605446</v>
      </c>
      <c r="E75" s="64">
        <f t="shared" si="14"/>
        <v>23.131370754880923</v>
      </c>
      <c r="F75" s="64">
        <f t="shared" si="14"/>
        <v>20.25166331738611</v>
      </c>
      <c r="G75" s="64">
        <f t="shared" si="14"/>
        <v>17.391615074844783</v>
      </c>
      <c r="H75" s="64">
        <f t="shared" si="14"/>
        <v>14.531112040495223</v>
      </c>
      <c r="I75" s="64">
        <f t="shared" si="14"/>
        <v>11.668091429606807</v>
      </c>
      <c r="J75" s="64">
        <f t="shared" si="14"/>
        <v>8.805308807819726</v>
      </c>
      <c r="K75" s="64">
        <f t="shared" si="14"/>
        <v>5.933747562019509</v>
      </c>
      <c r="L75" s="64">
        <f t="shared" si="14"/>
        <v>3.029158145593571</v>
      </c>
      <c r="M75" s="64">
        <f t="shared" si="14"/>
        <v>1.563047011636545</v>
      </c>
      <c r="N75" s="64">
        <f t="shared" si="14"/>
        <v>0</v>
      </c>
    </row>
    <row r="76" spans="1:14" ht="15.75">
      <c r="A76" s="96"/>
      <c r="B76" s="48" t="s">
        <v>415</v>
      </c>
      <c r="C76" s="64">
        <f>C71+C72*COS(C74)</f>
        <v>0.021091082526288725</v>
      </c>
      <c r="D76" s="64">
        <f aca="true" t="shared" si="15" ref="D76:N76">D71+D72*COS(D74)</f>
        <v>1.014433354032747</v>
      </c>
      <c r="E76" s="64">
        <f t="shared" si="15"/>
        <v>1.769357336677038</v>
      </c>
      <c r="F76" s="64">
        <f t="shared" si="15"/>
        <v>2.283697685528346</v>
      </c>
      <c r="G76" s="64">
        <f t="shared" si="15"/>
        <v>2.552506714499018</v>
      </c>
      <c r="H76" s="64">
        <f t="shared" si="15"/>
        <v>2.6311718685466907</v>
      </c>
      <c r="I76" s="64">
        <f t="shared" si="15"/>
        <v>2.572318126486013</v>
      </c>
      <c r="J76" s="64">
        <f t="shared" si="15"/>
        <v>2.360176587993041</v>
      </c>
      <c r="K76" s="64">
        <f t="shared" si="15"/>
        <v>1.9695450645775696</v>
      </c>
      <c r="L76" s="64">
        <f t="shared" si="15"/>
        <v>1.3451751514591548</v>
      </c>
      <c r="M76" s="64">
        <f t="shared" si="15"/>
        <v>0.8918584744490565</v>
      </c>
      <c r="N76" s="64">
        <f t="shared" si="15"/>
        <v>0</v>
      </c>
    </row>
    <row r="77" spans="1:14" ht="15.75">
      <c r="A77" s="96"/>
      <c r="B77" s="48" t="s">
        <v>416</v>
      </c>
      <c r="C77" s="64">
        <f>C70+C72*SIN(C74)</f>
        <v>29.006431853377467</v>
      </c>
      <c r="D77" s="64">
        <f aca="true" t="shared" si="16" ref="D77:N77">D70+D72*SIN(D74)</f>
        <v>26.156038004394556</v>
      </c>
      <c r="E77" s="64">
        <f t="shared" si="16"/>
        <v>23.268629245119076</v>
      </c>
      <c r="F77" s="64">
        <f t="shared" si="16"/>
        <v>20.34833668261389</v>
      </c>
      <c r="G77" s="64">
        <f t="shared" si="16"/>
        <v>17.408384925155215</v>
      </c>
      <c r="H77" s="64">
        <f t="shared" si="16"/>
        <v>14.468887959504777</v>
      </c>
      <c r="I77" s="64">
        <f t="shared" si="16"/>
        <v>11.531908570393192</v>
      </c>
      <c r="J77" s="64">
        <f t="shared" si="16"/>
        <v>8.594691192180273</v>
      </c>
      <c r="K77" s="64">
        <f t="shared" si="16"/>
        <v>5.666252437980491</v>
      </c>
      <c r="L77" s="64">
        <f t="shared" si="16"/>
        <v>2.7708418544064286</v>
      </c>
      <c r="M77" s="64">
        <f t="shared" si="16"/>
        <v>1.336952988363455</v>
      </c>
      <c r="N77" s="64">
        <f t="shared" si="16"/>
        <v>0</v>
      </c>
    </row>
    <row r="78" spans="1:14" ht="15.75">
      <c r="A78" s="96"/>
      <c r="B78" s="78" t="s">
        <v>399</v>
      </c>
      <c r="C78" s="64">
        <f>C71-C72*COS(C74)</f>
        <v>-0.021091082526288725</v>
      </c>
      <c r="D78" s="64">
        <f aca="true" t="shared" si="17" ref="D78:N78">D71-D72*COS(D74)</f>
        <v>0.5202826510348202</v>
      </c>
      <c r="E78" s="64">
        <f t="shared" si="17"/>
        <v>0.8615843862959349</v>
      </c>
      <c r="F78" s="64">
        <f t="shared" si="17"/>
        <v>1.0049794681878712</v>
      </c>
      <c r="G78" s="64">
        <f t="shared" si="17"/>
        <v>0.9554155827982792</v>
      </c>
      <c r="H78" s="64">
        <f t="shared" si="17"/>
        <v>0.7793081427145702</v>
      </c>
      <c r="I78" s="64">
        <f t="shared" si="17"/>
        <v>0.5458350266671397</v>
      </c>
      <c r="J78" s="64">
        <f t="shared" si="17"/>
        <v>0.27076513497993204</v>
      </c>
      <c r="K78" s="64">
        <f t="shared" si="17"/>
        <v>-0.020699343856848906</v>
      </c>
      <c r="L78" s="64">
        <f t="shared" si="17"/>
        <v>-0.2733100050627585</v>
      </c>
      <c r="M78" s="64">
        <f t="shared" si="17"/>
        <v>-0.3315653297418493</v>
      </c>
      <c r="N78" s="64">
        <f t="shared" si="17"/>
        <v>0</v>
      </c>
    </row>
    <row r="79" spans="1:14" ht="12.75">
      <c r="A79" s="97">
        <v>0.8</v>
      </c>
      <c r="B79" s="48" t="s">
        <v>188</v>
      </c>
      <c r="C79" s="64">
        <f>C14</f>
        <v>34</v>
      </c>
      <c r="D79" s="64">
        <f>C79*D49/100</f>
        <v>30.6</v>
      </c>
      <c r="E79" s="64">
        <f>C79*E49/100</f>
        <v>27.2</v>
      </c>
      <c r="F79" s="64">
        <f>C79*F49/100</f>
        <v>23.8</v>
      </c>
      <c r="G79" s="64">
        <f>C79*G49/100</f>
        <v>20.4</v>
      </c>
      <c r="H79" s="64">
        <f>C79*H49/100</f>
        <v>17</v>
      </c>
      <c r="I79" s="64">
        <f>C79*I49/100</f>
        <v>13.6</v>
      </c>
      <c r="J79" s="64">
        <f>C79*J49/100</f>
        <v>10.2</v>
      </c>
      <c r="K79" s="64">
        <f>C79*K49/100</f>
        <v>6.8</v>
      </c>
      <c r="L79" s="64">
        <f>C79*L49/100</f>
        <v>3.4</v>
      </c>
      <c r="M79" s="64">
        <f>C79*M49/100</f>
        <v>1.7</v>
      </c>
      <c r="N79" s="64">
        <f>C79*N49/100</f>
        <v>0</v>
      </c>
    </row>
    <row r="80" spans="1:14" ht="15.75">
      <c r="A80" s="97"/>
      <c r="B80" s="48" t="s">
        <v>423</v>
      </c>
      <c r="C80" s="64">
        <f>G80*C50/100</f>
        <v>0</v>
      </c>
      <c r="D80" s="64">
        <f>G80*D50/100</f>
        <v>0.9489615091463414</v>
      </c>
      <c r="E80" s="64">
        <f>G80*E50/100</f>
        <v>1.6267911585365857</v>
      </c>
      <c r="F80" s="64">
        <f>G80*F50/100</f>
        <v>2.033488948170733</v>
      </c>
      <c r="G80" s="64">
        <f>10*örvény!C174</f>
        <v>2.169054878048781</v>
      </c>
      <c r="H80" s="75">
        <f>G80*H50/100</f>
        <v>2.1088033536585367</v>
      </c>
      <c r="I80" s="75">
        <f>G80*I50/100</f>
        <v>1.9280487804878053</v>
      </c>
      <c r="J80" s="75">
        <f>G80*J50/100</f>
        <v>1.6267911585365857</v>
      </c>
      <c r="K80" s="75">
        <f>G80*K50/100</f>
        <v>1.2050304878048783</v>
      </c>
      <c r="L80" s="75">
        <f>G80*L50/100</f>
        <v>0.662766768292683</v>
      </c>
      <c r="M80" s="75">
        <f>G80*M50/100</f>
        <v>0.3464462652439025</v>
      </c>
      <c r="N80" s="75">
        <f>G80*N50/100</f>
        <v>0</v>
      </c>
    </row>
    <row r="81" spans="1:14" ht="15.75">
      <c r="A81" s="97"/>
      <c r="B81" s="48" t="s">
        <v>424</v>
      </c>
      <c r="C81" s="64">
        <f>2*J81*C51/100</f>
        <v>0.032549999999999434</v>
      </c>
      <c r="D81" s="64">
        <f>2*J81*D51/100</f>
        <v>0.3739936284635607</v>
      </c>
      <c r="E81" s="64">
        <f>2*J81*E51/100</f>
        <v>0.6776388116220626</v>
      </c>
      <c r="F81" s="64">
        <f>2*J81*F51/100</f>
        <v>0.9465092341084884</v>
      </c>
      <c r="G81" s="64">
        <f>2*J81*G51/100</f>
        <v>1.1788703420158446</v>
      </c>
      <c r="H81" s="64">
        <f>2*J81*H51/100</f>
        <v>1.3676231766814329</v>
      </c>
      <c r="I81" s="64">
        <f>2*J81*I51/100</f>
        <v>1.4991111356423747</v>
      </c>
      <c r="J81" s="64">
        <f>0.5*B42</f>
        <v>1.55</v>
      </c>
      <c r="K81" s="64">
        <f>2*J81*K51/100</f>
        <v>1.4821986058110312</v>
      </c>
      <c r="L81" s="64">
        <f>2*J81*L51/100</f>
        <v>1.2097156928211872</v>
      </c>
      <c r="M81" s="64">
        <f>2*J81*M51/100</f>
        <v>0.9182938013430159</v>
      </c>
      <c r="N81" s="64">
        <f>2*J81*N51/100</f>
        <v>0</v>
      </c>
    </row>
    <row r="82" spans="1:14" ht="15.75">
      <c r="A82" s="97"/>
      <c r="B82" s="48" t="s">
        <v>413</v>
      </c>
      <c r="C82" s="42"/>
      <c r="D82" s="56">
        <f>(E80-C80)/(C79-E79)</f>
        <v>0.23923399390243905</v>
      </c>
      <c r="E82" s="56">
        <f aca="true" t="shared" si="18" ref="E82:M82">(F80-D80)/(D79-F79)</f>
        <v>0.15948932926829285</v>
      </c>
      <c r="F82" s="56">
        <f t="shared" si="18"/>
        <v>0.07974466463414633</v>
      </c>
      <c r="G82" s="56">
        <f t="shared" si="18"/>
        <v>0.011075647865853511</v>
      </c>
      <c r="H82" s="56">
        <f t="shared" si="18"/>
        <v>-0.03544207317073171</v>
      </c>
      <c r="I82" s="56">
        <f t="shared" si="18"/>
        <v>-0.07088414634146337</v>
      </c>
      <c r="J82" s="56">
        <f t="shared" si="18"/>
        <v>-0.10632621951219515</v>
      </c>
      <c r="K82" s="56">
        <f t="shared" si="18"/>
        <v>-0.1417682926829269</v>
      </c>
      <c r="L82" s="56">
        <f t="shared" si="18"/>
        <v>-0.16834984756097568</v>
      </c>
      <c r="M82" s="56">
        <f t="shared" si="18"/>
        <v>-0.1949314024390244</v>
      </c>
      <c r="N82" s="42"/>
    </row>
    <row r="83" spans="1:14" ht="12.75">
      <c r="A83" s="97"/>
      <c r="B83" s="54" t="s">
        <v>421</v>
      </c>
      <c r="C83" s="57">
        <f>D83-(E83-D83)</f>
        <v>0.3114838368571572</v>
      </c>
      <c r="D83" s="57">
        <f aca="true" t="shared" si="19" ref="D83:M83">ATAN(D82)</f>
        <v>0.23482056776633872</v>
      </c>
      <c r="E83" s="57">
        <f t="shared" si="19"/>
        <v>0.15815729867552028</v>
      </c>
      <c r="F83" s="57">
        <f t="shared" si="19"/>
        <v>0.07957626895647053</v>
      </c>
      <c r="G83" s="57">
        <f t="shared" si="19"/>
        <v>0.011075195016032359</v>
      </c>
      <c r="H83" s="57">
        <f t="shared" si="19"/>
        <v>-0.03542724427033532</v>
      </c>
      <c r="I83" s="57">
        <f t="shared" si="19"/>
        <v>-0.07076578237253182</v>
      </c>
      <c r="J83" s="57">
        <f t="shared" si="19"/>
        <v>-0.10592823361805137</v>
      </c>
      <c r="K83" s="57">
        <f t="shared" si="19"/>
        <v>-0.14082981915023002</v>
      </c>
      <c r="L83" s="57">
        <f t="shared" si="19"/>
        <v>-0.16678591858798789</v>
      </c>
      <c r="M83" s="57">
        <f t="shared" si="19"/>
        <v>-0.19251719191778746</v>
      </c>
      <c r="N83" s="57">
        <f>M83-(L83-M83)</f>
        <v>-0.21824846524758704</v>
      </c>
    </row>
    <row r="84" spans="1:14" ht="15.75">
      <c r="A84" s="97"/>
      <c r="B84" s="48" t="s">
        <v>414</v>
      </c>
      <c r="C84" s="64">
        <f aca="true" t="shared" si="20" ref="C84:N84">C79-C81*SIN(C83)</f>
        <v>33.99002435567802</v>
      </c>
      <c r="D84" s="64">
        <f t="shared" si="20"/>
        <v>30.512983470432857</v>
      </c>
      <c r="E84" s="64">
        <f t="shared" si="20"/>
        <v>27.09327271921859</v>
      </c>
      <c r="F84" s="64">
        <f t="shared" si="20"/>
        <v>23.724759793616478</v>
      </c>
      <c r="G84" s="64">
        <f t="shared" si="20"/>
        <v>20.386944047974435</v>
      </c>
      <c r="H84" s="64">
        <f t="shared" si="20"/>
        <v>17.048440985902896</v>
      </c>
      <c r="I84" s="64">
        <f t="shared" si="20"/>
        <v>13.705997251894345</v>
      </c>
      <c r="J84" s="64">
        <f t="shared" si="20"/>
        <v>10.363881879709878</v>
      </c>
      <c r="K84" s="64">
        <f t="shared" si="20"/>
        <v>7.008048461510361</v>
      </c>
      <c r="L84" s="64">
        <f t="shared" si="20"/>
        <v>3.6008294156006944</v>
      </c>
      <c r="M84" s="64">
        <f t="shared" si="20"/>
        <v>1.87569732487992</v>
      </c>
      <c r="N84" s="64">
        <f t="shared" si="20"/>
        <v>0</v>
      </c>
    </row>
    <row r="85" spans="1:14" ht="15.75">
      <c r="A85" s="97"/>
      <c r="B85" s="48" t="s">
        <v>415</v>
      </c>
      <c r="C85" s="64">
        <f>C80+C81*COS(C83)</f>
        <v>0.030983689585993457</v>
      </c>
      <c r="D85" s="64">
        <f aca="true" t="shared" si="21" ref="D85:N85">D80+D81*COS(D83)</f>
        <v>1.3126912958196768</v>
      </c>
      <c r="E85" s="64">
        <f t="shared" si="21"/>
        <v>2.29597248415287</v>
      </c>
      <c r="F85" s="64">
        <f t="shared" si="21"/>
        <v>2.977002934074494</v>
      </c>
      <c r="G85" s="64">
        <f t="shared" si="21"/>
        <v>3.3478529207182026</v>
      </c>
      <c r="H85" s="64">
        <f t="shared" si="21"/>
        <v>3.4755683752628244</v>
      </c>
      <c r="I85" s="64">
        <f t="shared" si="21"/>
        <v>3.423407860975772</v>
      </c>
      <c r="J85" s="64">
        <f t="shared" si="21"/>
        <v>3.168103174159236</v>
      </c>
      <c r="K85" s="64">
        <f t="shared" si="21"/>
        <v>2.672555119533878</v>
      </c>
      <c r="L85" s="64">
        <f t="shared" si="21"/>
        <v>1.8556957700724739</v>
      </c>
      <c r="M85" s="64">
        <f t="shared" si="21"/>
        <v>1.247775259349299</v>
      </c>
      <c r="N85" s="64">
        <f t="shared" si="21"/>
        <v>0</v>
      </c>
    </row>
    <row r="86" spans="1:14" ht="15.75">
      <c r="A86" s="97"/>
      <c r="B86" s="48" t="s">
        <v>416</v>
      </c>
      <c r="C86" s="64">
        <f>C79+C81*SIN(C83)</f>
        <v>34.00997564432198</v>
      </c>
      <c r="D86" s="64">
        <f aca="true" t="shared" si="22" ref="D86:N86">D79+D81*SIN(D83)</f>
        <v>30.687016529567146</v>
      </c>
      <c r="E86" s="64">
        <f t="shared" si="22"/>
        <v>27.30672728078141</v>
      </c>
      <c r="F86" s="64">
        <f t="shared" si="22"/>
        <v>23.875240206383523</v>
      </c>
      <c r="G86" s="64">
        <f t="shared" si="22"/>
        <v>20.413055952025562</v>
      </c>
      <c r="H86" s="64">
        <f t="shared" si="22"/>
        <v>16.951559014097104</v>
      </c>
      <c r="I86" s="64">
        <f t="shared" si="22"/>
        <v>13.494002748105654</v>
      </c>
      <c r="J86" s="64">
        <f t="shared" si="22"/>
        <v>10.036118120290121</v>
      </c>
      <c r="K86" s="64">
        <f t="shared" si="22"/>
        <v>6.5919515384896386</v>
      </c>
      <c r="L86" s="64">
        <f t="shared" si="22"/>
        <v>3.1991705843993055</v>
      </c>
      <c r="M86" s="64">
        <f t="shared" si="22"/>
        <v>1.5243026751200799</v>
      </c>
      <c r="N86" s="64">
        <f t="shared" si="22"/>
        <v>0</v>
      </c>
    </row>
    <row r="87" spans="1:14" ht="15.75">
      <c r="A87" s="97"/>
      <c r="B87" s="78" t="s">
        <v>399</v>
      </c>
      <c r="C87" s="64">
        <f>C80-C81*COS(C83)</f>
        <v>-0.030983689585993457</v>
      </c>
      <c r="D87" s="64">
        <f aca="true" t="shared" si="23" ref="D87:N87">D80-D81*COS(D83)</f>
        <v>0.5852317224730058</v>
      </c>
      <c r="E87" s="64">
        <f t="shared" si="23"/>
        <v>0.9576098329203013</v>
      </c>
      <c r="F87" s="64">
        <f t="shared" si="23"/>
        <v>1.0899749622669719</v>
      </c>
      <c r="G87" s="64">
        <f t="shared" si="23"/>
        <v>0.9902568353793588</v>
      </c>
      <c r="H87" s="64">
        <f t="shared" si="23"/>
        <v>0.742038332054249</v>
      </c>
      <c r="I87" s="64">
        <f t="shared" si="23"/>
        <v>0.4326896999998384</v>
      </c>
      <c r="J87" s="64">
        <f t="shared" si="23"/>
        <v>0.08547914291393544</v>
      </c>
      <c r="K87" s="64">
        <f t="shared" si="23"/>
        <v>-0.2624941439241215</v>
      </c>
      <c r="L87" s="64">
        <f t="shared" si="23"/>
        <v>-0.5301622334871079</v>
      </c>
      <c r="M87" s="64">
        <f t="shared" si="23"/>
        <v>-0.5548827288614941</v>
      </c>
      <c r="N87" s="64">
        <f t="shared" si="23"/>
        <v>0</v>
      </c>
    </row>
    <row r="88" spans="1:14" ht="12.75">
      <c r="A88" s="97">
        <v>0.7</v>
      </c>
      <c r="B88" s="48" t="s">
        <v>188</v>
      </c>
      <c r="C88" s="64">
        <f>C13</f>
        <v>36.25</v>
      </c>
      <c r="D88" s="64">
        <f>C88*D49/100</f>
        <v>32.625</v>
      </c>
      <c r="E88" s="64">
        <f>C88*E49/100</f>
        <v>29</v>
      </c>
      <c r="F88" s="64">
        <f>C88*F49/100</f>
        <v>25.375</v>
      </c>
      <c r="G88" s="64">
        <f>C88*G49/100</f>
        <v>21.75</v>
      </c>
      <c r="H88" s="64">
        <f>C88*H49/100</f>
        <v>18.125</v>
      </c>
      <c r="I88" s="64">
        <f>C88*I49/100</f>
        <v>14.5</v>
      </c>
      <c r="J88" s="64">
        <f>C88*J49/100</f>
        <v>10.875</v>
      </c>
      <c r="K88" s="64">
        <f>C88*K49/100</f>
        <v>7.25</v>
      </c>
      <c r="L88" s="64">
        <f>C88*L49/100</f>
        <v>3.625</v>
      </c>
      <c r="M88" s="64">
        <f>C88*M49/100</f>
        <v>1.8125</v>
      </c>
      <c r="N88" s="64">
        <f>C88*N49/100</f>
        <v>0</v>
      </c>
    </row>
    <row r="89" spans="1:14" ht="15.75">
      <c r="A89" s="97"/>
      <c r="B89" s="48" t="s">
        <v>423</v>
      </c>
      <c r="C89" s="64">
        <f>G89*C50/100</f>
        <v>0</v>
      </c>
      <c r="D89" s="64">
        <f>G89*D50/100</f>
        <v>1.0595703124999998</v>
      </c>
      <c r="E89" s="64">
        <f>G89*E50/100</f>
        <v>1.8164062500000002</v>
      </c>
      <c r="F89" s="64">
        <f>G89*F50/100</f>
        <v>2.2705078125000013</v>
      </c>
      <c r="G89" s="64">
        <f>10*örvény!C173</f>
        <v>2.4218750000000004</v>
      </c>
      <c r="H89" s="75">
        <f>G89*H50/100</f>
        <v>2.3546006944444446</v>
      </c>
      <c r="I89" s="75">
        <f>G89*I50/100</f>
        <v>2.152777777777778</v>
      </c>
      <c r="J89" s="75">
        <f>G89*J50/100</f>
        <v>1.8164062500000002</v>
      </c>
      <c r="K89" s="75">
        <f>G89*K50/100</f>
        <v>1.3454861111111114</v>
      </c>
      <c r="L89" s="75">
        <f>G89*L50/100</f>
        <v>0.7400173611111112</v>
      </c>
      <c r="M89" s="75">
        <f>G89*M50/100</f>
        <v>0.3868272569444445</v>
      </c>
      <c r="N89" s="75">
        <f>G89*N50/100</f>
        <v>0</v>
      </c>
    </row>
    <row r="90" spans="1:14" ht="15.75">
      <c r="A90" s="97"/>
      <c r="B90" s="48" t="s">
        <v>424</v>
      </c>
      <c r="C90" s="64">
        <f>2*J90*C51/100</f>
        <v>0.04304999999999924</v>
      </c>
      <c r="D90" s="64">
        <f>2*J90*D51/100</f>
        <v>0.494636734419548</v>
      </c>
      <c r="E90" s="64">
        <f>2*J90*E51/100</f>
        <v>0.8962319766614375</v>
      </c>
      <c r="F90" s="64">
        <f>2*J90*F51/100</f>
        <v>1.2518347934983234</v>
      </c>
      <c r="G90" s="64">
        <f>2*J90*G51/100</f>
        <v>1.5591510975048266</v>
      </c>
      <c r="H90" s="64">
        <f>2*J90*H51/100</f>
        <v>1.8087919433528623</v>
      </c>
      <c r="I90" s="64">
        <f>2*J90*I51/100</f>
        <v>1.982695372946366</v>
      </c>
      <c r="J90" s="64">
        <f>0.5*B41</f>
        <v>2.05</v>
      </c>
      <c r="K90" s="64">
        <f>2*J90*K51/100</f>
        <v>1.9603271883307185</v>
      </c>
      <c r="L90" s="64">
        <f>2*J90*L51/100</f>
        <v>1.599946561473183</v>
      </c>
      <c r="M90" s="64">
        <f>2*J90*M51/100</f>
        <v>1.2145176082278595</v>
      </c>
      <c r="N90" s="64">
        <f>2*J90*N51/100</f>
        <v>0</v>
      </c>
    </row>
    <row r="91" spans="1:14" ht="15.75">
      <c r="A91" s="97"/>
      <c r="B91" s="48" t="s">
        <v>413</v>
      </c>
      <c r="C91" s="42"/>
      <c r="D91" s="56">
        <f>(E89-C89)/(C88-E88)</f>
        <v>0.2505387931034483</v>
      </c>
      <c r="E91" s="56">
        <f aca="true" t="shared" si="24" ref="E91:M91">(F89-D89)/(D88-F88)</f>
        <v>0.16702586206896572</v>
      </c>
      <c r="F91" s="56">
        <f t="shared" si="24"/>
        <v>0.08351293103448279</v>
      </c>
      <c r="G91" s="56">
        <f t="shared" si="24"/>
        <v>0.01159901819923356</v>
      </c>
      <c r="H91" s="56">
        <f t="shared" si="24"/>
        <v>-0.03711685823754791</v>
      </c>
      <c r="I91" s="56">
        <f t="shared" si="24"/>
        <v>-0.07423371647509579</v>
      </c>
      <c r="J91" s="56">
        <f t="shared" si="24"/>
        <v>-0.11135057471264369</v>
      </c>
      <c r="K91" s="56">
        <f t="shared" si="24"/>
        <v>-0.1484674329501916</v>
      </c>
      <c r="L91" s="56">
        <f t="shared" si="24"/>
        <v>-0.17630507662835254</v>
      </c>
      <c r="M91" s="56">
        <f t="shared" si="24"/>
        <v>-0.20414272030651343</v>
      </c>
      <c r="N91" s="42"/>
    </row>
    <row r="92" spans="1:14" ht="12.75">
      <c r="A92" s="97"/>
      <c r="B92" s="54" t="s">
        <v>421</v>
      </c>
      <c r="C92" s="57">
        <f>D92-(E92-D92)</f>
        <v>0.32547325192806087</v>
      </c>
      <c r="D92" s="57">
        <f aca="true" t="shared" si="25" ref="D92:M92">ATAN(D91)</f>
        <v>0.24548569819559538</v>
      </c>
      <c r="E92" s="57">
        <f t="shared" si="25"/>
        <v>0.16549814446312988</v>
      </c>
      <c r="F92" s="57">
        <f t="shared" si="25"/>
        <v>0.08331958833190607</v>
      </c>
      <c r="G92" s="57">
        <f t="shared" si="25"/>
        <v>0.011598498074651848</v>
      </c>
      <c r="H92" s="57">
        <f t="shared" si="25"/>
        <v>-0.03709982749482988</v>
      </c>
      <c r="I92" s="57">
        <f t="shared" si="25"/>
        <v>-0.0740978070176478</v>
      </c>
      <c r="J92" s="57">
        <f t="shared" si="25"/>
        <v>-0.11089375826638562</v>
      </c>
      <c r="K92" s="57">
        <f t="shared" si="25"/>
        <v>-0.14739076859678887</v>
      </c>
      <c r="L92" s="57">
        <f t="shared" si="25"/>
        <v>-0.17451168152858162</v>
      </c>
      <c r="M92" s="57">
        <f t="shared" si="25"/>
        <v>-0.2013757527970198</v>
      </c>
      <c r="N92" s="57">
        <f>M92-(L92-M92)</f>
        <v>-0.22823982406545798</v>
      </c>
    </row>
    <row r="93" spans="1:14" ht="15.75">
      <c r="A93" s="97"/>
      <c r="B93" s="48" t="s">
        <v>414</v>
      </c>
      <c r="C93" s="64">
        <f aca="true" t="shared" si="26" ref="C93:N93">C88-C90*SIN(C92)</f>
        <v>36.236234451351116</v>
      </c>
      <c r="D93" s="64">
        <f t="shared" si="26"/>
        <v>32.504789675918595</v>
      </c>
      <c r="E93" s="64">
        <f t="shared" si="26"/>
        <v>28.852351437577173</v>
      </c>
      <c r="F93" s="64">
        <f t="shared" si="26"/>
        <v>25.27081827896769</v>
      </c>
      <c r="G93" s="64">
        <f t="shared" si="26"/>
        <v>21.73191659444936</v>
      </c>
      <c r="H93" s="64">
        <f t="shared" si="26"/>
        <v>18.19209047607676</v>
      </c>
      <c r="I93" s="64">
        <f t="shared" si="26"/>
        <v>14.646778978403415</v>
      </c>
      <c r="J93" s="64">
        <f t="shared" si="26"/>
        <v>11.101866557372043</v>
      </c>
      <c r="K93" s="64">
        <f t="shared" si="26"/>
        <v>7.537889130677668</v>
      </c>
      <c r="L93" s="64">
        <f t="shared" si="26"/>
        <v>3.902794332328774</v>
      </c>
      <c r="M93" s="64">
        <f t="shared" si="26"/>
        <v>2.0554247413270286</v>
      </c>
      <c r="N93" s="64">
        <f t="shared" si="26"/>
        <v>0</v>
      </c>
    </row>
    <row r="94" spans="1:14" ht="15.75">
      <c r="A94" s="97"/>
      <c r="B94" s="48" t="s">
        <v>415</v>
      </c>
      <c r="C94" s="64">
        <f>C89+C90*COS(C92)</f>
        <v>0.04078985376775978</v>
      </c>
      <c r="D94" s="64">
        <f aca="true" t="shared" si="27" ref="D94:N94">D89+D90*COS(D92)</f>
        <v>1.5393775415216955</v>
      </c>
      <c r="E94" s="64">
        <f t="shared" si="27"/>
        <v>2.7003924817960274</v>
      </c>
      <c r="F94" s="64">
        <f t="shared" si="27"/>
        <v>3.51799990434497</v>
      </c>
      <c r="G94" s="64">
        <f t="shared" si="27"/>
        <v>3.9809212261569407</v>
      </c>
      <c r="H94" s="64">
        <f t="shared" si="27"/>
        <v>4.162147972486714</v>
      </c>
      <c r="I94" s="64">
        <f t="shared" si="27"/>
        <v>4.130032661044419</v>
      </c>
      <c r="J94" s="64">
        <f t="shared" si="27"/>
        <v>3.8538143007218375</v>
      </c>
      <c r="K94" s="64">
        <f t="shared" si="27"/>
        <v>3.2845587074174682</v>
      </c>
      <c r="L94" s="64">
        <f t="shared" si="27"/>
        <v>2.3156630409820242</v>
      </c>
      <c r="M94" s="64">
        <f t="shared" si="27"/>
        <v>1.5768022948115068</v>
      </c>
      <c r="N94" s="64">
        <f t="shared" si="27"/>
        <v>0</v>
      </c>
    </row>
    <row r="95" spans="1:14" ht="15.75">
      <c r="A95" s="97"/>
      <c r="B95" s="48" t="s">
        <v>416</v>
      </c>
      <c r="C95" s="64">
        <f>C88+C90*SIN(C92)</f>
        <v>36.263765548648884</v>
      </c>
      <c r="D95" s="64">
        <f aca="true" t="shared" si="28" ref="D95:N95">D88+D90*SIN(D92)</f>
        <v>32.745210324081405</v>
      </c>
      <c r="E95" s="64">
        <f t="shared" si="28"/>
        <v>29.147648562422827</v>
      </c>
      <c r="F95" s="64">
        <f t="shared" si="28"/>
        <v>25.47918172103231</v>
      </c>
      <c r="G95" s="64">
        <f t="shared" si="28"/>
        <v>21.76808340555064</v>
      </c>
      <c r="H95" s="64">
        <f t="shared" si="28"/>
        <v>18.05790952392324</v>
      </c>
      <c r="I95" s="64">
        <f t="shared" si="28"/>
        <v>14.353221021596585</v>
      </c>
      <c r="J95" s="64">
        <f t="shared" si="28"/>
        <v>10.648133442627957</v>
      </c>
      <c r="K95" s="64">
        <f t="shared" si="28"/>
        <v>6.962110869322332</v>
      </c>
      <c r="L95" s="64">
        <f t="shared" si="28"/>
        <v>3.347205667671226</v>
      </c>
      <c r="M95" s="64">
        <f t="shared" si="28"/>
        <v>1.5695752586729717</v>
      </c>
      <c r="N95" s="64">
        <f t="shared" si="28"/>
        <v>0</v>
      </c>
    </row>
    <row r="96" spans="1:15" ht="15.75">
      <c r="A96" s="97"/>
      <c r="B96" s="78" t="s">
        <v>399</v>
      </c>
      <c r="C96" s="64">
        <f>C89-C90*COS(C92)</f>
        <v>-0.04078985376775978</v>
      </c>
      <c r="D96" s="64">
        <f aca="true" t="shared" si="29" ref="D96:N96">D89-D90*COS(D92)</f>
        <v>0.5797630834783041</v>
      </c>
      <c r="E96" s="64">
        <f t="shared" si="29"/>
        <v>0.9324200182039729</v>
      </c>
      <c r="F96" s="64">
        <f t="shared" si="29"/>
        <v>1.0230157206550328</v>
      </c>
      <c r="G96" s="64">
        <f t="shared" si="29"/>
        <v>0.8628287738430604</v>
      </c>
      <c r="H96" s="64">
        <f t="shared" si="29"/>
        <v>0.547053416402175</v>
      </c>
      <c r="I96" s="64">
        <f t="shared" si="29"/>
        <v>0.17552289451113667</v>
      </c>
      <c r="J96" s="64">
        <f t="shared" si="29"/>
        <v>-0.22100180072183684</v>
      </c>
      <c r="K96" s="64">
        <f t="shared" si="29"/>
        <v>-0.5935864851952457</v>
      </c>
      <c r="L96" s="64">
        <f t="shared" si="29"/>
        <v>-0.8356283187598019</v>
      </c>
      <c r="M96" s="64">
        <f t="shared" si="29"/>
        <v>-0.803147780922618</v>
      </c>
      <c r="N96" s="64">
        <f t="shared" si="29"/>
        <v>0</v>
      </c>
      <c r="O96" s="7"/>
    </row>
    <row r="97" spans="1:15" ht="12.75">
      <c r="A97" s="97">
        <v>0.6</v>
      </c>
      <c r="B97" s="48" t="s">
        <v>188</v>
      </c>
      <c r="C97" s="64">
        <f>C12</f>
        <v>36.75</v>
      </c>
      <c r="D97" s="64">
        <f>C97*D49/100</f>
        <v>33.075</v>
      </c>
      <c r="E97" s="64">
        <f>C97*E49/100</f>
        <v>29.4</v>
      </c>
      <c r="F97" s="64">
        <f>C97*F49/100</f>
        <v>25.725</v>
      </c>
      <c r="G97" s="64">
        <f>C97*G49/100</f>
        <v>22.05</v>
      </c>
      <c r="H97" s="64">
        <f>C97*H49/100</f>
        <v>18.375</v>
      </c>
      <c r="I97" s="64">
        <f>C97*I49/100</f>
        <v>14.7</v>
      </c>
      <c r="J97" s="64">
        <f>C97*J49/100</f>
        <v>11.025</v>
      </c>
      <c r="K97" s="64">
        <f>C97*K49/100</f>
        <v>7.35</v>
      </c>
      <c r="L97" s="64">
        <f>C97*L49/100</f>
        <v>3.675</v>
      </c>
      <c r="M97" s="64">
        <f>C97*M49/100</f>
        <v>1.8375</v>
      </c>
      <c r="N97" s="64">
        <f>C97*N49/100</f>
        <v>0</v>
      </c>
      <c r="O97" s="15"/>
    </row>
    <row r="98" spans="1:14" ht="15.75">
      <c r="A98" s="97"/>
      <c r="B98" s="48" t="s">
        <v>423</v>
      </c>
      <c r="C98" s="64">
        <f>G98*C50/100</f>
        <v>0</v>
      </c>
      <c r="D98" s="64">
        <f>G98*D50/100</f>
        <v>1.1377021059782606</v>
      </c>
      <c r="E98" s="64">
        <f>G98*E50/100</f>
        <v>1.9503464673913045</v>
      </c>
      <c r="F98" s="64">
        <f>G98*F50/100</f>
        <v>2.4379330842391314</v>
      </c>
      <c r="G98" s="64">
        <f>10*örvény!C172</f>
        <v>2.6004619565217393</v>
      </c>
      <c r="H98" s="75">
        <f>G98*H50/100</f>
        <v>2.528226902173913</v>
      </c>
      <c r="I98" s="75">
        <f>G98*I50/100</f>
        <v>2.3115217391304346</v>
      </c>
      <c r="J98" s="75">
        <f>G98*J50/100</f>
        <v>1.9503464673913045</v>
      </c>
      <c r="K98" s="75">
        <f>G98*K50/100</f>
        <v>1.4447010869565218</v>
      </c>
      <c r="L98" s="75">
        <f>G98*L50/100</f>
        <v>0.7945855978260868</v>
      </c>
      <c r="M98" s="75">
        <f>G98*M50/100</f>
        <v>0.4153515625</v>
      </c>
      <c r="N98" s="75">
        <f>G98*N50/100</f>
        <v>0</v>
      </c>
    </row>
    <row r="99" spans="1:14" ht="15.75">
      <c r="A99" s="97"/>
      <c r="B99" s="48" t="s">
        <v>424</v>
      </c>
      <c r="C99" s="64">
        <f>2*J99*C51/100</f>
        <v>0.053549999999999064</v>
      </c>
      <c r="D99" s="64">
        <f>2*J99*D51/100</f>
        <v>0.6152798403755353</v>
      </c>
      <c r="E99" s="64">
        <f>2*J99*E51/100</f>
        <v>1.1148251417008126</v>
      </c>
      <c r="F99" s="64">
        <f>2*J99*F51/100</f>
        <v>1.5571603528881584</v>
      </c>
      <c r="G99" s="64">
        <f>2*J99*G51/100</f>
        <v>1.9394318529938088</v>
      </c>
      <c r="H99" s="64">
        <f>2*J99*H51/100</f>
        <v>2.2499607100242924</v>
      </c>
      <c r="I99" s="64">
        <f>2*J99*I51/100</f>
        <v>2.466279610250358</v>
      </c>
      <c r="J99" s="64">
        <f>0.5*B40</f>
        <v>2.55</v>
      </c>
      <c r="K99" s="64">
        <f>2*J99*K51/100</f>
        <v>2.438455770850406</v>
      </c>
      <c r="L99" s="64">
        <f>2*J99*L51/100</f>
        <v>1.990177430125179</v>
      </c>
      <c r="M99" s="64">
        <f>2*J99*M51/100</f>
        <v>1.5107414151127034</v>
      </c>
      <c r="N99" s="64">
        <f>2*J99*N51/100</f>
        <v>0</v>
      </c>
    </row>
    <row r="100" spans="1:14" ht="15.75">
      <c r="A100" s="97"/>
      <c r="B100" s="48" t="s">
        <v>413</v>
      </c>
      <c r="C100" s="42"/>
      <c r="D100" s="56">
        <f>(E98-C98)/(C97-E97)</f>
        <v>0.2653532608695652</v>
      </c>
      <c r="E100" s="56">
        <f aca="true" t="shared" si="30" ref="E100:M100">(F98-D98)/(D97-F97)</f>
        <v>0.1769021739130436</v>
      </c>
      <c r="F100" s="56">
        <f t="shared" si="30"/>
        <v>0.08845108695652178</v>
      </c>
      <c r="G100" s="56">
        <f t="shared" si="30"/>
        <v>0.012284873188405663</v>
      </c>
      <c r="H100" s="56">
        <f t="shared" si="30"/>
        <v>-0.03931159420289859</v>
      </c>
      <c r="I100" s="56">
        <f t="shared" si="30"/>
        <v>-0.07862318840579709</v>
      </c>
      <c r="J100" s="56">
        <f t="shared" si="30"/>
        <v>-0.11793478260869562</v>
      </c>
      <c r="K100" s="56">
        <f t="shared" si="30"/>
        <v>-0.1572463768115942</v>
      </c>
      <c r="L100" s="56">
        <f t="shared" si="30"/>
        <v>-0.18673007246376816</v>
      </c>
      <c r="M100" s="56">
        <f t="shared" si="30"/>
        <v>-0.216213768115942</v>
      </c>
      <c r="N100" s="42"/>
    </row>
    <row r="101" spans="1:14" ht="12.75">
      <c r="A101" s="97"/>
      <c r="B101" s="54" t="s">
        <v>421</v>
      </c>
      <c r="C101" s="57">
        <v>0.0026</v>
      </c>
      <c r="D101" s="57">
        <f>ATAN(D100)</f>
        <v>0.25937578254286847</v>
      </c>
      <c r="E101" s="57">
        <f aca="true" t="shared" si="31" ref="E101:M101">ATAN(E100)</f>
        <v>0.1750907192820384</v>
      </c>
      <c r="F101" s="57">
        <f t="shared" si="31"/>
        <v>0.08822149524870346</v>
      </c>
      <c r="G101" s="57">
        <f t="shared" si="31"/>
        <v>0.012284255241082351</v>
      </c>
      <c r="H101" s="57">
        <f t="shared" si="31"/>
        <v>-0.039291362228087795</v>
      </c>
      <c r="I101" s="57">
        <f t="shared" si="31"/>
        <v>-0.07846178078784181</v>
      </c>
      <c r="J101" s="57">
        <f t="shared" si="31"/>
        <v>-0.11739253089966352</v>
      </c>
      <c r="K101" s="57">
        <f t="shared" si="31"/>
        <v>-0.15596922476468353</v>
      </c>
      <c r="L101" s="57">
        <f t="shared" si="31"/>
        <v>-0.1846040673382048</v>
      </c>
      <c r="M101" s="57">
        <f t="shared" si="31"/>
        <v>-0.2129360108138911</v>
      </c>
      <c r="N101" s="57">
        <v>-0.0017</v>
      </c>
    </row>
    <row r="102" spans="1:14" ht="15.75">
      <c r="A102" s="97"/>
      <c r="B102" s="48" t="s">
        <v>414</v>
      </c>
      <c r="C102" s="64">
        <f>C97-C99*SIN(C101)</f>
        <v>36.749860770156864</v>
      </c>
      <c r="D102" s="64">
        <f aca="true" t="shared" si="32" ref="D102:N102">D97-D99*SIN(D101)</f>
        <v>32.91719470973005</v>
      </c>
      <c r="E102" s="64">
        <f t="shared" si="32"/>
        <v>29.205800280197202</v>
      </c>
      <c r="F102" s="64">
        <f t="shared" si="32"/>
        <v>25.587803115020282</v>
      </c>
      <c r="G102" s="64">
        <f t="shared" si="32"/>
        <v>22.026176123287808</v>
      </c>
      <c r="H102" s="64">
        <f t="shared" si="32"/>
        <v>18.46338127649339</v>
      </c>
      <c r="I102" s="64">
        <f t="shared" si="32"/>
        <v>14.89331020323497</v>
      </c>
      <c r="J102" s="64">
        <f t="shared" si="32"/>
        <v>11.323663867837947</v>
      </c>
      <c r="K102" s="64">
        <f t="shared" si="32"/>
        <v>7.728783944869894</v>
      </c>
      <c r="L102" s="64">
        <f t="shared" si="32"/>
        <v>4.04031168028502</v>
      </c>
      <c r="M102" s="64">
        <f t="shared" si="32"/>
        <v>2.1567657485738394</v>
      </c>
      <c r="N102" s="64">
        <f t="shared" si="32"/>
        <v>0</v>
      </c>
    </row>
    <row r="103" spans="1:14" ht="15.75">
      <c r="A103" s="97"/>
      <c r="B103" s="48" t="s">
        <v>415</v>
      </c>
      <c r="C103" s="64">
        <f>C98+C99*COS(C101)</f>
        <v>0.05354981900110103</v>
      </c>
      <c r="D103" s="64">
        <f aca="true" t="shared" si="33" ref="D103:N103">D98+D99*COS(D101)</f>
        <v>1.732400998137443</v>
      </c>
      <c r="E103" s="64">
        <f t="shared" si="33"/>
        <v>3.0481267575207784</v>
      </c>
      <c r="F103" s="64">
        <f t="shared" si="33"/>
        <v>3.989037651751791</v>
      </c>
      <c r="G103" s="64">
        <f t="shared" si="33"/>
        <v>4.5397474783842116</v>
      </c>
      <c r="H103" s="64">
        <f t="shared" si="33"/>
        <v>4.7764510784113305</v>
      </c>
      <c r="I103" s="64">
        <f t="shared" si="33"/>
        <v>4.770213724976143</v>
      </c>
      <c r="J103" s="64">
        <f t="shared" si="33"/>
        <v>4.482795853666985</v>
      </c>
      <c r="K103" s="64">
        <f t="shared" si="33"/>
        <v>3.85355751055309</v>
      </c>
      <c r="L103" s="64">
        <f t="shared" si="33"/>
        <v>2.7509479312467127</v>
      </c>
      <c r="M103" s="64">
        <f t="shared" si="33"/>
        <v>1.8919723686395855</v>
      </c>
      <c r="N103" s="64">
        <f t="shared" si="33"/>
        <v>0</v>
      </c>
    </row>
    <row r="104" spans="1:14" ht="15.75">
      <c r="A104" s="97"/>
      <c r="B104" s="48" t="s">
        <v>416</v>
      </c>
      <c r="C104" s="64">
        <f>C97+C99*SIN(C101)</f>
        <v>36.750139229843136</v>
      </c>
      <c r="D104" s="64">
        <f aca="true" t="shared" si="34" ref="D104:N104">D97+D99*SIN(D101)</f>
        <v>33.23280529026996</v>
      </c>
      <c r="E104" s="64">
        <f t="shared" si="34"/>
        <v>29.594199719802795</v>
      </c>
      <c r="F104" s="64">
        <f t="shared" si="34"/>
        <v>25.86219688497972</v>
      </c>
      <c r="G104" s="64">
        <f t="shared" si="34"/>
        <v>22.073823876712193</v>
      </c>
      <c r="H104" s="64">
        <f t="shared" si="34"/>
        <v>18.28661872350661</v>
      </c>
      <c r="I104" s="64">
        <f t="shared" si="34"/>
        <v>14.506689796765029</v>
      </c>
      <c r="J104" s="64">
        <f t="shared" si="34"/>
        <v>10.726336132162054</v>
      </c>
      <c r="K104" s="64">
        <f t="shared" si="34"/>
        <v>6.971216055130105</v>
      </c>
      <c r="L104" s="64">
        <f t="shared" si="34"/>
        <v>3.30968831971498</v>
      </c>
      <c r="M104" s="64">
        <f t="shared" si="34"/>
        <v>1.5182342514261602</v>
      </c>
      <c r="N104" s="64">
        <f t="shared" si="34"/>
        <v>0</v>
      </c>
    </row>
    <row r="105" spans="1:14" ht="15.75">
      <c r="A105" s="97"/>
      <c r="B105" s="78" t="s">
        <v>399</v>
      </c>
      <c r="C105" s="64">
        <f>C98-C99*COS(C101)</f>
        <v>-0.05354981900110103</v>
      </c>
      <c r="D105" s="64">
        <f aca="true" t="shared" si="35" ref="D105:N105">D98-D99*COS(D101)</f>
        <v>0.5430032138190782</v>
      </c>
      <c r="E105" s="64">
        <f t="shared" si="35"/>
        <v>0.8525661772618303</v>
      </c>
      <c r="F105" s="64">
        <f t="shared" si="35"/>
        <v>0.8868285167264716</v>
      </c>
      <c r="G105" s="64">
        <f t="shared" si="35"/>
        <v>0.661176434659267</v>
      </c>
      <c r="H105" s="64">
        <f t="shared" si="35"/>
        <v>0.280002725936495</v>
      </c>
      <c r="I105" s="64">
        <f t="shared" si="35"/>
        <v>-0.14717024671527357</v>
      </c>
      <c r="J105" s="64">
        <f t="shared" si="35"/>
        <v>-0.5821029188843769</v>
      </c>
      <c r="K105" s="64">
        <f t="shared" si="35"/>
        <v>-0.9641553366400464</v>
      </c>
      <c r="L105" s="64">
        <f t="shared" si="35"/>
        <v>-1.1617767355945392</v>
      </c>
      <c r="M105" s="64">
        <f t="shared" si="35"/>
        <v>-1.0612692436395856</v>
      </c>
      <c r="N105" s="64">
        <f t="shared" si="35"/>
        <v>0</v>
      </c>
    </row>
    <row r="106" spans="1:14" ht="12.75">
      <c r="A106" s="97">
        <v>0.5</v>
      </c>
      <c r="B106" s="48" t="s">
        <v>188</v>
      </c>
      <c r="C106" s="64">
        <f>C11</f>
        <v>36.5</v>
      </c>
      <c r="D106" s="64">
        <f>C106*D49/100</f>
        <v>32.85</v>
      </c>
      <c r="E106" s="64">
        <f>C106*E49/100</f>
        <v>29.2</v>
      </c>
      <c r="F106" s="64">
        <f>C106*F49/100</f>
        <v>25.55</v>
      </c>
      <c r="G106" s="64">
        <f>C106*G49/100</f>
        <v>21.9</v>
      </c>
      <c r="H106" s="64">
        <f>C106*H49/100</f>
        <v>18.25</v>
      </c>
      <c r="I106" s="64">
        <f>C106*I49/100</f>
        <v>14.6</v>
      </c>
      <c r="J106" s="64">
        <f>C106*J49/100</f>
        <v>10.95</v>
      </c>
      <c r="K106" s="64">
        <f>C106*K49/100</f>
        <v>7.3</v>
      </c>
      <c r="L106" s="64">
        <f>C106*L49/100</f>
        <v>3.65</v>
      </c>
      <c r="M106" s="64">
        <f>C106*M49/100</f>
        <v>1.825</v>
      </c>
      <c r="N106" s="64">
        <f>C106*N49/100</f>
        <v>0</v>
      </c>
    </row>
    <row r="107" spans="1:14" ht="15.75">
      <c r="A107" s="97"/>
      <c r="B107" s="48" t="s">
        <v>423</v>
      </c>
      <c r="C107" s="64">
        <f>G107*C50/100</f>
        <v>0</v>
      </c>
      <c r="D107" s="64">
        <f>G107*D50/100</f>
        <v>1.2836581615691487</v>
      </c>
      <c r="E107" s="64">
        <f>G107*E50/100</f>
        <v>2.2005568484042555</v>
      </c>
      <c r="F107" s="64">
        <f>G107*F50/100</f>
        <v>2.75069606050532</v>
      </c>
      <c r="G107" s="64">
        <f>10*örvény!C171</f>
        <v>2.9340757978723406</v>
      </c>
      <c r="H107" s="75">
        <f>G107*H50/100</f>
        <v>2.8525736923758864</v>
      </c>
      <c r="I107" s="75">
        <f>G107*I50/100</f>
        <v>2.6080673758865247</v>
      </c>
      <c r="J107" s="75">
        <f>G107*J50/100</f>
        <v>2.2005568484042555</v>
      </c>
      <c r="K107" s="75">
        <f>G107*K50/100</f>
        <v>1.630042109929078</v>
      </c>
      <c r="L107" s="75">
        <f>G107*L50/100</f>
        <v>0.8965231604609929</v>
      </c>
      <c r="M107" s="75">
        <f>G107*M50/100</f>
        <v>0.46863710660460994</v>
      </c>
      <c r="N107" s="75">
        <f>G107*N50/100</f>
        <v>0</v>
      </c>
    </row>
    <row r="108" spans="1:14" ht="15.75">
      <c r="A108" s="97"/>
      <c r="B108" s="48" t="s">
        <v>424</v>
      </c>
      <c r="C108" s="64">
        <f>2*J108*C51/100</f>
        <v>0.06404999999999887</v>
      </c>
      <c r="D108" s="64">
        <f>2*J108*D51/100</f>
        <v>0.7359229463315227</v>
      </c>
      <c r="E108" s="64">
        <f>2*J108*E51/100</f>
        <v>1.3334183067401875</v>
      </c>
      <c r="F108" s="64">
        <f>2*J108*F51/100</f>
        <v>1.8624859122779933</v>
      </c>
      <c r="G108" s="64">
        <f>2*J108*G51/100</f>
        <v>2.319712608482791</v>
      </c>
      <c r="H108" s="64">
        <f>2*J108*H51/100</f>
        <v>2.6911294766957226</v>
      </c>
      <c r="I108" s="64">
        <f>2*J108*I51/100</f>
        <v>2.94986384755435</v>
      </c>
      <c r="J108" s="64">
        <f>0.5*B39</f>
        <v>3.05</v>
      </c>
      <c r="K108" s="64">
        <f>2*J108*K51/100</f>
        <v>2.9165843533700935</v>
      </c>
      <c r="L108" s="64">
        <f>2*J108*L51/100</f>
        <v>2.3804082987771746</v>
      </c>
      <c r="M108" s="64">
        <f>2*J108*M51/100</f>
        <v>1.806965221997547</v>
      </c>
      <c r="N108" s="64">
        <f>2*J108*N51/100</f>
        <v>0</v>
      </c>
    </row>
    <row r="109" spans="1:14" ht="15.75">
      <c r="A109" s="97"/>
      <c r="B109" s="48" t="s">
        <v>413</v>
      </c>
      <c r="C109" s="42"/>
      <c r="D109" s="56">
        <f>(E107-C107)/(C106-E106)</f>
        <v>0.30144614361702127</v>
      </c>
      <c r="E109" s="56">
        <f aca="true" t="shared" si="36" ref="E109:M109">(F107-D107)/(D106-F106)</f>
        <v>0.20096409574468097</v>
      </c>
      <c r="F109" s="56">
        <f t="shared" si="36"/>
        <v>0.10048204787234043</v>
      </c>
      <c r="G109" s="56">
        <f t="shared" si="36"/>
        <v>0.013955839982269387</v>
      </c>
      <c r="H109" s="56">
        <f t="shared" si="36"/>
        <v>-0.044658687943262464</v>
      </c>
      <c r="I109" s="56">
        <f t="shared" si="36"/>
        <v>-0.08931737588652477</v>
      </c>
      <c r="J109" s="56">
        <f t="shared" si="36"/>
        <v>-0.13397606382978722</v>
      </c>
      <c r="K109" s="56">
        <f t="shared" si="36"/>
        <v>-0.1786347517730497</v>
      </c>
      <c r="L109" s="56">
        <f t="shared" si="36"/>
        <v>-0.21212876773049646</v>
      </c>
      <c r="M109" s="56">
        <f t="shared" si="36"/>
        <v>-0.24562278368794327</v>
      </c>
      <c r="N109" s="42"/>
    </row>
    <row r="110" spans="1:14" ht="12.75">
      <c r="A110" s="97"/>
      <c r="B110" s="54" t="s">
        <v>421</v>
      </c>
      <c r="C110" s="57">
        <f>D110-(E110-D110)</f>
        <v>0.38724360332442165</v>
      </c>
      <c r="D110" s="57">
        <f aca="true" t="shared" si="37" ref="D110:M110">ATAN(D109)</f>
        <v>0.2927830031042334</v>
      </c>
      <c r="E110" s="57">
        <f t="shared" si="37"/>
        <v>0.19832240288404512</v>
      </c>
      <c r="F110" s="57">
        <f t="shared" si="37"/>
        <v>0.10014590479798963</v>
      </c>
      <c r="G110" s="57">
        <f t="shared" si="37"/>
        <v>0.01395493404955769</v>
      </c>
      <c r="H110" s="57">
        <f t="shared" si="37"/>
        <v>-0.04462903434777491</v>
      </c>
      <c r="I110" s="57">
        <f t="shared" si="37"/>
        <v>-0.08908099373909817</v>
      </c>
      <c r="J110" s="57">
        <f t="shared" si="37"/>
        <v>-0.1331829828071825</v>
      </c>
      <c r="K110" s="57">
        <f t="shared" si="37"/>
        <v>-0.17677022176346868</v>
      </c>
      <c r="L110" s="57">
        <f t="shared" si="37"/>
        <v>-0.2090301730750618</v>
      </c>
      <c r="M110" s="57">
        <f t="shared" si="37"/>
        <v>-0.240854706081622</v>
      </c>
      <c r="N110" s="57">
        <f>M110-(L110-M110)</f>
        <v>-0.27267923908818215</v>
      </c>
    </row>
    <row r="111" spans="1:14" ht="15.75">
      <c r="A111" s="97"/>
      <c r="B111" s="48" t="s">
        <v>414</v>
      </c>
      <c r="C111" s="64">
        <f aca="true" t="shared" si="38" ref="C111:N111">C106-C108*SIN(C110)</f>
        <v>36.47581231442217</v>
      </c>
      <c r="D111" s="64">
        <f t="shared" si="38"/>
        <v>32.637599457324875</v>
      </c>
      <c r="E111" s="64">
        <f t="shared" si="38"/>
        <v>28.93728339793521</v>
      </c>
      <c r="F111" s="64">
        <f t="shared" si="38"/>
        <v>25.36379128186628</v>
      </c>
      <c r="G111" s="64">
        <f t="shared" si="38"/>
        <v>21.86762961419438</v>
      </c>
      <c r="H111" s="64">
        <f t="shared" si="38"/>
        <v>18.370062644776887</v>
      </c>
      <c r="I111" s="64">
        <f t="shared" si="38"/>
        <v>14.862429399936168</v>
      </c>
      <c r="J111" s="64">
        <f t="shared" si="38"/>
        <v>11.355008295446837</v>
      </c>
      <c r="K111" s="64">
        <f t="shared" si="38"/>
        <v>7.812884415801359</v>
      </c>
      <c r="L111" s="64">
        <f t="shared" si="38"/>
        <v>4.143961575966221</v>
      </c>
      <c r="M111" s="64">
        <f t="shared" si="38"/>
        <v>2.2560203799017975</v>
      </c>
      <c r="N111" s="64">
        <f t="shared" si="38"/>
        <v>0</v>
      </c>
    </row>
    <row r="112" spans="1:14" ht="15.75">
      <c r="A112" s="97"/>
      <c r="B112" s="48" t="s">
        <v>415</v>
      </c>
      <c r="C112" s="64">
        <f>C107+C108*COS(C110)</f>
        <v>0.059307321355698335</v>
      </c>
      <c r="D112" s="64">
        <f aca="true" t="shared" si="39" ref="D112:N112">D107+D108*COS(D110)</f>
        <v>1.9882634357536255</v>
      </c>
      <c r="E112" s="64">
        <f t="shared" si="39"/>
        <v>3.5078381370905882</v>
      </c>
      <c r="F112" s="64">
        <f t="shared" si="39"/>
        <v>4.603850151973427</v>
      </c>
      <c r="G112" s="64">
        <f t="shared" si="39"/>
        <v>5.253562539390133</v>
      </c>
      <c r="H112" s="64">
        <f t="shared" si="39"/>
        <v>5.541023584352631</v>
      </c>
      <c r="I112" s="64">
        <f t="shared" si="39"/>
        <v>5.546234751846801</v>
      </c>
      <c r="J112" s="64">
        <f t="shared" si="39"/>
        <v>5.223546805486357</v>
      </c>
      <c r="K112" s="64">
        <f t="shared" si="39"/>
        <v>4.501176705581352</v>
      </c>
      <c r="L112" s="64">
        <f t="shared" si="39"/>
        <v>3.225116218587769</v>
      </c>
      <c r="M112" s="64">
        <f t="shared" si="39"/>
        <v>2.223443291235253</v>
      </c>
      <c r="N112" s="64">
        <f t="shared" si="39"/>
        <v>0</v>
      </c>
    </row>
    <row r="113" spans="1:14" ht="15.75">
      <c r="A113" s="97"/>
      <c r="B113" s="48" t="s">
        <v>416</v>
      </c>
      <c r="C113" s="64">
        <f>C106+C108*SIN(C110)</f>
        <v>36.52418768557783</v>
      </c>
      <c r="D113" s="64">
        <f aca="true" t="shared" si="40" ref="D113:N113">D106+D108*SIN(D110)</f>
        <v>33.06240054267513</v>
      </c>
      <c r="E113" s="64">
        <f t="shared" si="40"/>
        <v>29.462716602064788</v>
      </c>
      <c r="F113" s="64">
        <f t="shared" si="40"/>
        <v>25.73620871813372</v>
      </c>
      <c r="G113" s="64">
        <f t="shared" si="40"/>
        <v>21.932370385805616</v>
      </c>
      <c r="H113" s="64">
        <f t="shared" si="40"/>
        <v>18.129937355223113</v>
      </c>
      <c r="I113" s="64">
        <f t="shared" si="40"/>
        <v>14.337570600063831</v>
      </c>
      <c r="J113" s="64">
        <f t="shared" si="40"/>
        <v>10.544991704553162</v>
      </c>
      <c r="K113" s="64">
        <f t="shared" si="40"/>
        <v>6.787115584198641</v>
      </c>
      <c r="L113" s="64">
        <f t="shared" si="40"/>
        <v>3.1560384240337784</v>
      </c>
      <c r="M113" s="64">
        <f t="shared" si="40"/>
        <v>1.3939796200982024</v>
      </c>
      <c r="N113" s="64">
        <f t="shared" si="40"/>
        <v>0</v>
      </c>
    </row>
    <row r="114" spans="1:14" ht="15.75">
      <c r="A114" s="97"/>
      <c r="B114" s="78" t="s">
        <v>399</v>
      </c>
      <c r="C114" s="64">
        <f>C107-C108*COS(C110)</f>
        <v>-0.059307321355698335</v>
      </c>
      <c r="D114" s="64">
        <f aca="true" t="shared" si="41" ref="D114:N114">D107-D108*COS(D110)</f>
        <v>0.5790528873846719</v>
      </c>
      <c r="E114" s="64">
        <f t="shared" si="41"/>
        <v>0.8932755597179225</v>
      </c>
      <c r="F114" s="64">
        <f t="shared" si="41"/>
        <v>0.8975419690372128</v>
      </c>
      <c r="G114" s="64">
        <f t="shared" si="41"/>
        <v>0.6145890563545477</v>
      </c>
      <c r="H114" s="64">
        <f t="shared" si="41"/>
        <v>0.1641238003991412</v>
      </c>
      <c r="I114" s="64">
        <f t="shared" si="41"/>
        <v>-0.3301000000737515</v>
      </c>
      <c r="J114" s="64">
        <f t="shared" si="41"/>
        <v>-0.822433108677846</v>
      </c>
      <c r="K114" s="64">
        <f t="shared" si="41"/>
        <v>-1.2410924857231953</v>
      </c>
      <c r="L114" s="64">
        <f t="shared" si="41"/>
        <v>-1.432069897665783</v>
      </c>
      <c r="M114" s="64">
        <f t="shared" si="41"/>
        <v>-1.286169078026033</v>
      </c>
      <c r="N114" s="64">
        <f t="shared" si="41"/>
        <v>0</v>
      </c>
    </row>
    <row r="115" spans="1:14" ht="12.75">
      <c r="A115" s="97">
        <v>0.4</v>
      </c>
      <c r="B115" s="48" t="s">
        <v>188</v>
      </c>
      <c r="C115" s="64">
        <f>C10</f>
        <v>36</v>
      </c>
      <c r="D115" s="64">
        <f>C115*D49/100</f>
        <v>32.4</v>
      </c>
      <c r="E115" s="64">
        <f>C115*E49/100</f>
        <v>28.8</v>
      </c>
      <c r="F115" s="64">
        <f>C115*F49/100</f>
        <v>25.2</v>
      </c>
      <c r="G115" s="64">
        <f>C115*G49/100</f>
        <v>21.6</v>
      </c>
      <c r="H115" s="64">
        <f>C115*H49/100</f>
        <v>18</v>
      </c>
      <c r="I115" s="64">
        <f>C115*I49/100</f>
        <v>14.4</v>
      </c>
      <c r="J115" s="64">
        <f>C115*J49/100</f>
        <v>10.8</v>
      </c>
      <c r="K115" s="64">
        <f>C115*K49/100</f>
        <v>7.2</v>
      </c>
      <c r="L115" s="64">
        <f>C115*L49/100</f>
        <v>3.6</v>
      </c>
      <c r="M115" s="64">
        <f>C115*M49/100</f>
        <v>1.8</v>
      </c>
      <c r="N115" s="64">
        <f>C115*N49/100</f>
        <v>0</v>
      </c>
    </row>
    <row r="116" spans="1:14" ht="15.75">
      <c r="A116" s="97"/>
      <c r="B116" s="48" t="s">
        <v>423</v>
      </c>
      <c r="C116" s="64">
        <f>G116*C50/100</f>
        <v>0</v>
      </c>
      <c r="D116" s="64">
        <f>G116*D50/100</f>
        <v>1.4329076086956516</v>
      </c>
      <c r="E116" s="64">
        <f>G116*E50/100</f>
        <v>2.4564130434782605</v>
      </c>
      <c r="F116" s="64">
        <f>G116*F50/100</f>
        <v>3.070516304347827</v>
      </c>
      <c r="G116" s="64">
        <f>10*örvény!C170</f>
        <v>3.2752173913043476</v>
      </c>
      <c r="H116" s="75">
        <f>G116*H50/100</f>
        <v>3.184239130434782</v>
      </c>
      <c r="I116" s="75">
        <f>G116*I50/100</f>
        <v>2.911304347826087</v>
      </c>
      <c r="J116" s="75">
        <f>G116*J50/100</f>
        <v>2.4564130434782605</v>
      </c>
      <c r="K116" s="75">
        <f>G116*K50/100</f>
        <v>1.8195652173913044</v>
      </c>
      <c r="L116" s="75">
        <f>G116*L50/100</f>
        <v>1.0007608695652173</v>
      </c>
      <c r="M116" s="75">
        <f>G116*M50/100</f>
        <v>0.523125</v>
      </c>
      <c r="N116" s="75">
        <f>G116*N50/100</f>
        <v>0</v>
      </c>
    </row>
    <row r="117" spans="1:14" ht="15.75">
      <c r="A117" s="97"/>
      <c r="B117" s="48" t="s">
        <v>424</v>
      </c>
      <c r="C117" s="64">
        <f>2*J117*C51/100</f>
        <v>0.07507499999999868</v>
      </c>
      <c r="D117" s="64">
        <f>2*J117*D51/100</f>
        <v>0.8625982075853093</v>
      </c>
      <c r="E117" s="64">
        <f>2*J117*E51/100</f>
        <v>1.5629411300315315</v>
      </c>
      <c r="F117" s="64">
        <f>2*J117*F51/100</f>
        <v>2.18307774963732</v>
      </c>
      <c r="G117" s="64">
        <f>2*J117*G51/100</f>
        <v>2.7190074017462225</v>
      </c>
      <c r="H117" s="64">
        <f>2*J117*H51/100</f>
        <v>3.1543566817007234</v>
      </c>
      <c r="I117" s="64">
        <f>2*J117*I51/100</f>
        <v>3.4576272967235413</v>
      </c>
      <c r="J117" s="64">
        <f>0.5*B38</f>
        <v>3.5749999999999997</v>
      </c>
      <c r="K117" s="64">
        <f>2*J117*K51/100</f>
        <v>3.4186193650157652</v>
      </c>
      <c r="L117" s="64">
        <f>2*J117*L51/100</f>
        <v>2.7901507108617705</v>
      </c>
      <c r="M117" s="64">
        <f>2*J117*M51/100</f>
        <v>2.1180002192266327</v>
      </c>
      <c r="N117" s="64">
        <f>2*J117*N51/100</f>
        <v>0</v>
      </c>
    </row>
    <row r="118" spans="1:14" ht="15.75">
      <c r="A118" s="97"/>
      <c r="B118" s="48" t="s">
        <v>413</v>
      </c>
      <c r="C118" s="42"/>
      <c r="D118" s="56">
        <f>(E116-C116)/(C115-E115)</f>
        <v>0.34116847826086955</v>
      </c>
      <c r="E118" s="56">
        <f aca="true" t="shared" si="42" ref="E118:M118">(F116-D116)/(D115-F115)</f>
        <v>0.22744565217391327</v>
      </c>
      <c r="F118" s="56">
        <f t="shared" si="42"/>
        <v>0.11372282608695655</v>
      </c>
      <c r="G118" s="56">
        <f t="shared" si="42"/>
        <v>0.01579483695652152</v>
      </c>
      <c r="H118" s="56">
        <f t="shared" si="42"/>
        <v>-0.05054347826086954</v>
      </c>
      <c r="I118" s="56">
        <f t="shared" si="42"/>
        <v>-0.10108695652173909</v>
      </c>
      <c r="J118" s="56">
        <f t="shared" si="42"/>
        <v>-0.15163043478260868</v>
      </c>
      <c r="K118" s="56">
        <f t="shared" si="42"/>
        <v>-0.2021739130434782</v>
      </c>
      <c r="L118" s="56">
        <f t="shared" si="42"/>
        <v>-0.24008152173913044</v>
      </c>
      <c r="M118" s="56">
        <f t="shared" si="42"/>
        <v>-0.27798913043478257</v>
      </c>
      <c r="N118" s="42"/>
    </row>
    <row r="119" spans="1:14" ht="12.75">
      <c r="A119" s="97"/>
      <c r="B119" s="54" t="s">
        <v>421</v>
      </c>
      <c r="C119" s="57">
        <f>D119-(E119-D119)</f>
        <v>0.43393003842614886</v>
      </c>
      <c r="D119" s="57">
        <f aca="true" t="shared" si="43" ref="D119:M119">ATAN(D118)</f>
        <v>0.32878553247863934</v>
      </c>
      <c r="E119" s="57">
        <f t="shared" si="43"/>
        <v>0.22364102653112986</v>
      </c>
      <c r="F119" s="57">
        <f t="shared" si="43"/>
        <v>0.11323634093788792</v>
      </c>
      <c r="G119" s="57">
        <f t="shared" si="43"/>
        <v>0.015793523670910924</v>
      </c>
      <c r="H119" s="57">
        <f t="shared" si="43"/>
        <v>-0.0505005039278569</v>
      </c>
      <c r="I119" s="57">
        <f t="shared" si="43"/>
        <v>-0.1007447308447813</v>
      </c>
      <c r="J119" s="57">
        <f t="shared" si="43"/>
        <v>-0.15048412220290636</v>
      </c>
      <c r="K119" s="57">
        <f t="shared" si="43"/>
        <v>-0.19948498430614492</v>
      </c>
      <c r="L119" s="57">
        <f t="shared" si="43"/>
        <v>-0.23562206112070658</v>
      </c>
      <c r="M119" s="57">
        <f t="shared" si="43"/>
        <v>-0.2711430524240537</v>
      </c>
      <c r="N119" s="57">
        <f>M119-(L119-M119)</f>
        <v>-0.30666404372740075</v>
      </c>
    </row>
    <row r="120" spans="1:14" ht="15.75">
      <c r="A120" s="97"/>
      <c r="B120" s="48" t="s">
        <v>414</v>
      </c>
      <c r="C120" s="64">
        <f aca="true" t="shared" si="44" ref="C120:N120">C115-C117*SIN(C119)</f>
        <v>35.968435478694055</v>
      </c>
      <c r="D120" s="64">
        <f t="shared" si="44"/>
        <v>32.12147234201873</v>
      </c>
      <c r="E120" s="64">
        <f t="shared" si="44"/>
        <v>28.45336866993355</v>
      </c>
      <c r="F120" s="64">
        <f t="shared" si="44"/>
        <v>24.953324218753984</v>
      </c>
      <c r="G120" s="64">
        <f t="shared" si="44"/>
        <v>21.557059077455385</v>
      </c>
      <c r="H120" s="64">
        <f t="shared" si="44"/>
        <v>18.159228901582996</v>
      </c>
      <c r="I120" s="64">
        <f t="shared" si="44"/>
        <v>14.74774878797672</v>
      </c>
      <c r="J120" s="64">
        <f t="shared" si="44"/>
        <v>11.335952563485955</v>
      </c>
      <c r="K120" s="64">
        <f t="shared" si="44"/>
        <v>7.877449184502843</v>
      </c>
      <c r="L120" s="64">
        <f t="shared" si="44"/>
        <v>4.251354834692144</v>
      </c>
      <c r="M120" s="64">
        <f t="shared" si="44"/>
        <v>2.3672701469667787</v>
      </c>
      <c r="N120" s="64">
        <f t="shared" si="44"/>
        <v>0</v>
      </c>
    </row>
    <row r="121" spans="1:14" ht="15.75">
      <c r="A121" s="97"/>
      <c r="B121" s="48" t="s">
        <v>415</v>
      </c>
      <c r="C121" s="64">
        <f>C116+C117*COS(C119)</f>
        <v>0.06811708023489013</v>
      </c>
      <c r="D121" s="64">
        <f aca="true" t="shared" si="45" ref="D121:N121">D116+D117*COS(D119)</f>
        <v>2.2493009032962723</v>
      </c>
      <c r="E121" s="64">
        <f t="shared" si="45"/>
        <v>3.9804313166497485</v>
      </c>
      <c r="F121" s="64">
        <f t="shared" si="45"/>
        <v>5.239612779820556</v>
      </c>
      <c r="G121" s="64">
        <f t="shared" si="45"/>
        <v>5.9938856917635555</v>
      </c>
      <c r="H121" s="64">
        <f t="shared" si="45"/>
        <v>6.334574387560707</v>
      </c>
      <c r="I121" s="64">
        <f t="shared" si="45"/>
        <v>6.351399884800092</v>
      </c>
      <c r="J121" s="64">
        <f t="shared" si="45"/>
        <v>5.991010594783477</v>
      </c>
      <c r="K121" s="64">
        <f t="shared" si="45"/>
        <v>5.170389140738699</v>
      </c>
      <c r="L121" s="64">
        <f t="shared" si="45"/>
        <v>3.713817792787731</v>
      </c>
      <c r="M121" s="64">
        <f t="shared" si="45"/>
        <v>2.5637448835168573</v>
      </c>
      <c r="N121" s="64">
        <f t="shared" si="45"/>
        <v>0</v>
      </c>
    </row>
    <row r="122" spans="1:14" ht="15.75">
      <c r="A122" s="97"/>
      <c r="B122" s="48" t="s">
        <v>416</v>
      </c>
      <c r="C122" s="64">
        <f>C115+C117*SIN(C119)</f>
        <v>36.031564521305945</v>
      </c>
      <c r="D122" s="64">
        <f aca="true" t="shared" si="46" ref="D122:N122">D115+D117*SIN(D119)</f>
        <v>32.67852765798127</v>
      </c>
      <c r="E122" s="64">
        <f t="shared" si="46"/>
        <v>29.14663133006645</v>
      </c>
      <c r="F122" s="64">
        <f t="shared" si="46"/>
        <v>25.446675781246014</v>
      </c>
      <c r="G122" s="64">
        <f t="shared" si="46"/>
        <v>21.642940922544618</v>
      </c>
      <c r="H122" s="64">
        <f t="shared" si="46"/>
        <v>17.840771098417004</v>
      </c>
      <c r="I122" s="64">
        <f t="shared" si="46"/>
        <v>14.05225121202328</v>
      </c>
      <c r="J122" s="64">
        <f t="shared" si="46"/>
        <v>10.264047436514046</v>
      </c>
      <c r="K122" s="64">
        <f t="shared" si="46"/>
        <v>6.522550815497158</v>
      </c>
      <c r="L122" s="64">
        <f t="shared" si="46"/>
        <v>2.948645165307856</v>
      </c>
      <c r="M122" s="64">
        <f t="shared" si="46"/>
        <v>1.2327298530332214</v>
      </c>
      <c r="N122" s="64">
        <f t="shared" si="46"/>
        <v>0</v>
      </c>
    </row>
    <row r="123" spans="1:14" ht="15.75">
      <c r="A123" s="97"/>
      <c r="B123" s="78" t="s">
        <v>399</v>
      </c>
      <c r="C123" s="64">
        <f>C116-C117*COS(C119)</f>
        <v>-0.06811708023489013</v>
      </c>
      <c r="D123" s="64">
        <f aca="true" t="shared" si="47" ref="D123:N123">D116-D117*COS(D119)</f>
        <v>0.6165143140950308</v>
      </c>
      <c r="E123" s="64">
        <f t="shared" si="47"/>
        <v>0.9323947703067725</v>
      </c>
      <c r="F123" s="64">
        <f t="shared" si="47"/>
        <v>0.9014198288750985</v>
      </c>
      <c r="G123" s="64">
        <f t="shared" si="47"/>
        <v>0.5565490908451394</v>
      </c>
      <c r="H123" s="64">
        <f t="shared" si="47"/>
        <v>0.03390387330885636</v>
      </c>
      <c r="I123" s="64">
        <f t="shared" si="47"/>
        <v>-0.5287911891479178</v>
      </c>
      <c r="J123" s="64">
        <f t="shared" si="47"/>
        <v>-1.0781845078269559</v>
      </c>
      <c r="K123" s="64">
        <f t="shared" si="47"/>
        <v>-1.5312587059560903</v>
      </c>
      <c r="L123" s="64">
        <f t="shared" si="47"/>
        <v>-1.7122960536572966</v>
      </c>
      <c r="M123" s="64">
        <f t="shared" si="47"/>
        <v>-1.5174948835168576</v>
      </c>
      <c r="N123" s="64">
        <f t="shared" si="47"/>
        <v>0</v>
      </c>
    </row>
    <row r="124" spans="1:14" ht="12.75">
      <c r="A124" s="97">
        <v>0.3</v>
      </c>
      <c r="B124" s="48" t="s">
        <v>188</v>
      </c>
      <c r="C124" s="64">
        <f>C9</f>
        <v>34.5</v>
      </c>
      <c r="D124" s="64">
        <f>C124*D49/100</f>
        <v>31.05</v>
      </c>
      <c r="E124" s="64">
        <f>C124*E49/100</f>
        <v>27.6</v>
      </c>
      <c r="F124" s="64">
        <f>C124*F49/100</f>
        <v>24.15</v>
      </c>
      <c r="G124" s="64">
        <f>C124*G49/100</f>
        <v>20.7</v>
      </c>
      <c r="H124" s="64">
        <f>C124*H49/100</f>
        <v>17.25</v>
      </c>
      <c r="I124" s="64">
        <f>C124*I49/100</f>
        <v>13.8</v>
      </c>
      <c r="J124" s="64">
        <f>C124*J49/100</f>
        <v>10.35</v>
      </c>
      <c r="K124" s="64">
        <f>C124*K49/100</f>
        <v>6.9</v>
      </c>
      <c r="L124" s="64">
        <f>C124*L49/100</f>
        <v>3.45</v>
      </c>
      <c r="M124" s="64">
        <f>C124*M49/100</f>
        <v>1.725</v>
      </c>
      <c r="N124" s="64">
        <f>C124*N49/100</f>
        <v>0</v>
      </c>
    </row>
    <row r="125" spans="1:14" ht="15.75">
      <c r="A125" s="97"/>
      <c r="B125" s="48" t="s">
        <v>423</v>
      </c>
      <c r="C125" s="64">
        <f>G125*C50/100</f>
        <v>0</v>
      </c>
      <c r="D125" s="64">
        <f>G125*D50/100</f>
        <v>1.6538065732758616</v>
      </c>
      <c r="E125" s="64">
        <f>G125*E50/100</f>
        <v>2.8350969827586208</v>
      </c>
      <c r="F125" s="64">
        <f>G125*F50/100</f>
        <v>3.5438712284482774</v>
      </c>
      <c r="G125" s="64">
        <f>10*örvény!C169</f>
        <v>3.780129310344828</v>
      </c>
      <c r="H125" s="75">
        <f>G125*H50/100</f>
        <v>3.6751257183908046</v>
      </c>
      <c r="I125" s="75">
        <f>G125*I50/100</f>
        <v>3.360114942528736</v>
      </c>
      <c r="J125" s="75">
        <f>G125*J50/100</f>
        <v>2.8350969827586208</v>
      </c>
      <c r="K125" s="75">
        <f>G125*K50/100</f>
        <v>2.10007183908046</v>
      </c>
      <c r="L125" s="75">
        <f>G125*L50/100</f>
        <v>1.1550395114942529</v>
      </c>
      <c r="M125" s="75">
        <f>G125*M50/100</f>
        <v>0.6037706537356322</v>
      </c>
      <c r="N125" s="75">
        <f>G125*N50/100</f>
        <v>0</v>
      </c>
    </row>
    <row r="126" spans="1:14" ht="15.75">
      <c r="A126" s="97"/>
      <c r="B126" s="48" t="s">
        <v>424</v>
      </c>
      <c r="C126" s="64">
        <f>2*J126*C51/100</f>
        <v>0.08452499999999853</v>
      </c>
      <c r="D126" s="64">
        <f>2*J126*D51/100</f>
        <v>0.971177002945698</v>
      </c>
      <c r="E126" s="64">
        <f>2*J126*E51/100</f>
        <v>1.7596749785669692</v>
      </c>
      <c r="F126" s="64">
        <f>2*J126*F51/100</f>
        <v>2.4578707530881716</v>
      </c>
      <c r="G126" s="64">
        <f>2*J126*G51/100</f>
        <v>3.061260081686307</v>
      </c>
      <c r="H126" s="64">
        <f>2*J126*H51/100</f>
        <v>3.551408571705011</v>
      </c>
      <c r="I126" s="64">
        <f>2*J126*I51/100</f>
        <v>3.8928531102971347</v>
      </c>
      <c r="J126" s="64">
        <f>0.5*B37</f>
        <v>4.025</v>
      </c>
      <c r="K126" s="64">
        <f>2*J126*K51/100</f>
        <v>3.8489350892834846</v>
      </c>
      <c r="L126" s="64">
        <f>2*J126*L51/100</f>
        <v>3.1413584926485667</v>
      </c>
      <c r="M126" s="64">
        <f>2*J126*M51/100</f>
        <v>2.384601645422993</v>
      </c>
      <c r="N126" s="64">
        <f>2*J126*N51/100</f>
        <v>0</v>
      </c>
    </row>
    <row r="127" spans="1:14" ht="15.75">
      <c r="A127" s="97"/>
      <c r="B127" s="48" t="s">
        <v>413</v>
      </c>
      <c r="C127" s="42"/>
      <c r="D127" s="56">
        <f>(E125-C125)/(C124-E124)</f>
        <v>0.4108836206896553</v>
      </c>
      <c r="E127" s="56">
        <f aca="true" t="shared" si="48" ref="E127:M127">(F125-D125)/(D124-F124)</f>
        <v>0.27392241379310367</v>
      </c>
      <c r="F127" s="56">
        <f t="shared" si="48"/>
        <v>0.13696120689655175</v>
      </c>
      <c r="G127" s="56">
        <f t="shared" si="48"/>
        <v>0.019022389846743076</v>
      </c>
      <c r="H127" s="56">
        <f t="shared" si="48"/>
        <v>-0.060871647509578554</v>
      </c>
      <c r="I127" s="56">
        <f t="shared" si="48"/>
        <v>-0.12174329501915707</v>
      </c>
      <c r="J127" s="56">
        <f t="shared" si="48"/>
        <v>-0.18261494252873567</v>
      </c>
      <c r="K127" s="56">
        <f t="shared" si="48"/>
        <v>-0.24348659003831422</v>
      </c>
      <c r="L127" s="56">
        <f t="shared" si="48"/>
        <v>-0.2891403256704981</v>
      </c>
      <c r="M127" s="56">
        <f t="shared" si="48"/>
        <v>-0.33479406130268197</v>
      </c>
      <c r="N127" s="42"/>
    </row>
    <row r="128" spans="1:14" ht="12.75">
      <c r="A128" s="97"/>
      <c r="B128" s="54" t="s">
        <v>421</v>
      </c>
      <c r="C128" s="57">
        <f>D128-(E128-D128)</f>
        <v>0.5123428004901922</v>
      </c>
      <c r="D128" s="57">
        <f aca="true" t="shared" si="49" ref="D128:M128">ATAN(D127)</f>
        <v>0.38985345616664846</v>
      </c>
      <c r="E128" s="57">
        <f t="shared" si="49"/>
        <v>0.2673641118431047</v>
      </c>
      <c r="F128" s="57">
        <f t="shared" si="49"/>
        <v>0.13611432852683988</v>
      </c>
      <c r="G128" s="57">
        <f t="shared" si="49"/>
        <v>0.01902009591916236</v>
      </c>
      <c r="H128" s="57">
        <f t="shared" si="49"/>
        <v>-0.0607966304800849</v>
      </c>
      <c r="I128" s="57">
        <f t="shared" si="49"/>
        <v>-0.1211471179207454</v>
      </c>
      <c r="J128" s="57">
        <f t="shared" si="49"/>
        <v>-0.18062465586828091</v>
      </c>
      <c r="K128" s="57">
        <f t="shared" si="49"/>
        <v>-0.2388390626045604</v>
      </c>
      <c r="L128" s="57">
        <f t="shared" si="49"/>
        <v>-0.28146425540086256</v>
      </c>
      <c r="M128" s="57">
        <f t="shared" si="49"/>
        <v>-0.32306463295894633</v>
      </c>
      <c r="N128" s="57">
        <f>M128-(L128-M128)</f>
        <v>-0.3646650105170301</v>
      </c>
    </row>
    <row r="129" spans="1:14" ht="15.75">
      <c r="A129" s="97"/>
      <c r="B129" s="48" t="s">
        <v>414</v>
      </c>
      <c r="C129" s="64">
        <f aca="true" t="shared" si="50" ref="C129:N129">C124-C126*SIN(C128)</f>
        <v>34.45856410619052</v>
      </c>
      <c r="D129" s="64">
        <f t="shared" si="50"/>
        <v>30.680901391468378</v>
      </c>
      <c r="E129" s="64">
        <f t="shared" si="50"/>
        <v>27.135111254972315</v>
      </c>
      <c r="F129" s="64">
        <f t="shared" si="50"/>
        <v>23.816480661498485</v>
      </c>
      <c r="G129" s="64">
        <f t="shared" si="50"/>
        <v>20.641778050195704</v>
      </c>
      <c r="H129" s="64">
        <f t="shared" si="50"/>
        <v>17.465780688087328</v>
      </c>
      <c r="I129" s="64">
        <f t="shared" si="50"/>
        <v>14.270455178984813</v>
      </c>
      <c r="J129" s="64">
        <f t="shared" si="50"/>
        <v>11.073067511330093</v>
      </c>
      <c r="K129" s="64">
        <f t="shared" si="50"/>
        <v>7.810561064036263</v>
      </c>
      <c r="L129" s="64">
        <f t="shared" si="50"/>
        <v>4.322551847218978</v>
      </c>
      <c r="M129" s="64">
        <f t="shared" si="50"/>
        <v>2.482049349495755</v>
      </c>
      <c r="N129" s="64">
        <f t="shared" si="50"/>
        <v>0</v>
      </c>
    </row>
    <row r="130" spans="1:14" ht="15.75">
      <c r="A130" s="97"/>
      <c r="B130" s="48" t="s">
        <v>415</v>
      </c>
      <c r="C130" s="64">
        <f>C125+C126*COS(C128)</f>
        <v>0.07367185574701678</v>
      </c>
      <c r="D130" s="64">
        <f aca="true" t="shared" si="51" ref="D130:N130">D125+D126*COS(D128)</f>
        <v>2.5521110807957825</v>
      </c>
      <c r="E130" s="64">
        <f t="shared" si="51"/>
        <v>4.532251803316028</v>
      </c>
      <c r="F130" s="64">
        <f t="shared" si="51"/>
        <v>5.9790084914648265</v>
      </c>
      <c r="G130" s="64">
        <f t="shared" si="51"/>
        <v>6.840835681803391</v>
      </c>
      <c r="H130" s="64">
        <f t="shared" si="51"/>
        <v>7.219972899557911</v>
      </c>
      <c r="I130" s="64">
        <f t="shared" si="51"/>
        <v>7.224436003584151</v>
      </c>
      <c r="J130" s="64">
        <f t="shared" si="51"/>
        <v>6.794616950388398</v>
      </c>
      <c r="K130" s="64">
        <f t="shared" si="51"/>
        <v>5.839748278316723</v>
      </c>
      <c r="L130" s="64">
        <f t="shared" si="51"/>
        <v>4.172784771328161</v>
      </c>
      <c r="M130" s="64">
        <f t="shared" si="51"/>
        <v>2.865009537573892</v>
      </c>
      <c r="N130" s="64">
        <f t="shared" si="51"/>
        <v>0</v>
      </c>
    </row>
    <row r="131" spans="1:14" ht="15.75">
      <c r="A131" s="97"/>
      <c r="B131" s="48" t="s">
        <v>416</v>
      </c>
      <c r="C131" s="64">
        <f>C124+C126*SIN(C128)</f>
        <v>34.54143589380948</v>
      </c>
      <c r="D131" s="64">
        <f aca="true" t="shared" si="52" ref="D131:N131">D124+D126*SIN(D128)</f>
        <v>31.419098608531623</v>
      </c>
      <c r="E131" s="64">
        <f t="shared" si="52"/>
        <v>28.064888745027687</v>
      </c>
      <c r="F131" s="64">
        <f t="shared" si="52"/>
        <v>24.483519338501512</v>
      </c>
      <c r="G131" s="64">
        <f t="shared" si="52"/>
        <v>20.758221949804295</v>
      </c>
      <c r="H131" s="64">
        <f t="shared" si="52"/>
        <v>17.034219311912672</v>
      </c>
      <c r="I131" s="64">
        <f t="shared" si="52"/>
        <v>13.329544821015189</v>
      </c>
      <c r="J131" s="64">
        <f t="shared" si="52"/>
        <v>9.626932488669906</v>
      </c>
      <c r="K131" s="64">
        <f t="shared" si="52"/>
        <v>5.989438935963737</v>
      </c>
      <c r="L131" s="64">
        <f t="shared" si="52"/>
        <v>2.577448152781022</v>
      </c>
      <c r="M131" s="64">
        <f t="shared" si="52"/>
        <v>0.9679506505042454</v>
      </c>
      <c r="N131" s="64">
        <f t="shared" si="52"/>
        <v>0</v>
      </c>
    </row>
    <row r="132" spans="1:15" ht="15.75">
      <c r="A132" s="97"/>
      <c r="B132" s="78" t="s">
        <v>399</v>
      </c>
      <c r="C132" s="64">
        <f>C125-C126*COS(C128)</f>
        <v>-0.07367185574701678</v>
      </c>
      <c r="D132" s="64">
        <f aca="true" t="shared" si="53" ref="D132:N132">D125-D126*COS(D128)</f>
        <v>0.7555020657559405</v>
      </c>
      <c r="E132" s="64">
        <f t="shared" si="53"/>
        <v>1.1379421622012134</v>
      </c>
      <c r="F132" s="64">
        <f t="shared" si="53"/>
        <v>1.1087339654317283</v>
      </c>
      <c r="G132" s="64">
        <f t="shared" si="53"/>
        <v>0.7194229388862659</v>
      </c>
      <c r="H132" s="64">
        <f t="shared" si="53"/>
        <v>0.13027853722369764</v>
      </c>
      <c r="I132" s="64">
        <f t="shared" si="53"/>
        <v>-0.5042061185266782</v>
      </c>
      <c r="J132" s="64">
        <f t="shared" si="53"/>
        <v>-1.1244229848711562</v>
      </c>
      <c r="K132" s="64">
        <f t="shared" si="53"/>
        <v>-1.6396046001558031</v>
      </c>
      <c r="L132" s="64">
        <f t="shared" si="53"/>
        <v>-1.8627057483396559</v>
      </c>
      <c r="M132" s="64">
        <f t="shared" si="53"/>
        <v>-1.6574682301026278</v>
      </c>
      <c r="N132" s="64">
        <f t="shared" si="53"/>
        <v>0</v>
      </c>
      <c r="O132" s="7"/>
    </row>
    <row r="133" spans="1:14" ht="12.75">
      <c r="A133" s="97">
        <v>0.2</v>
      </c>
      <c r="B133" s="48" t="s">
        <v>188</v>
      </c>
      <c r="C133" s="64">
        <f>C8</f>
        <v>32</v>
      </c>
      <c r="D133" s="64">
        <f>C133*D49/100</f>
        <v>28.8</v>
      </c>
      <c r="E133" s="64">
        <f>C133*E49/100</f>
        <v>25.6</v>
      </c>
      <c r="F133" s="64">
        <f>C133*F49/100</f>
        <v>22.4</v>
      </c>
      <c r="G133" s="64">
        <f>C133*G49/100</f>
        <v>19.2</v>
      </c>
      <c r="H133" s="64">
        <f>C133*H49/100</f>
        <v>16</v>
      </c>
      <c r="I133" s="64">
        <f>C133*I49/100</f>
        <v>12.8</v>
      </c>
      <c r="J133" s="64">
        <f>C133*J49/100</f>
        <v>9.6</v>
      </c>
      <c r="K133" s="64">
        <f>C133*K49/100</f>
        <v>6.4</v>
      </c>
      <c r="L133" s="64">
        <f>C133*L49/100</f>
        <v>3.2</v>
      </c>
      <c r="M133" s="64">
        <f>C133*M49/100</f>
        <v>1.6</v>
      </c>
      <c r="N133" s="64">
        <f>C133*N49/100</f>
        <v>0</v>
      </c>
    </row>
    <row r="134" spans="1:14" ht="15.75">
      <c r="A134" s="97"/>
      <c r="B134" s="48" t="s">
        <v>423</v>
      </c>
      <c r="C134" s="64">
        <f>G134*C50/100</f>
        <v>0</v>
      </c>
      <c r="D134" s="64">
        <f>G134*D50/100</f>
        <v>1.7699062499999993</v>
      </c>
      <c r="E134" s="64">
        <f>G134*E50/100</f>
        <v>3.0341249999999995</v>
      </c>
      <c r="F134" s="64">
        <f>G134*F50/100</f>
        <v>3.7926562500000007</v>
      </c>
      <c r="G134" s="64">
        <f>10*örvény!C168</f>
        <v>4.0455</v>
      </c>
      <c r="H134" s="75">
        <f>G134*H50/100</f>
        <v>3.9331249999999995</v>
      </c>
      <c r="I134" s="75">
        <f>G134*I50/100</f>
        <v>3.5959999999999996</v>
      </c>
      <c r="J134" s="75">
        <f>G134*J50/100</f>
        <v>3.0341249999999995</v>
      </c>
      <c r="K134" s="75">
        <f>G134*K50/100</f>
        <v>2.2475</v>
      </c>
      <c r="L134" s="75">
        <f>G134*L50/100</f>
        <v>1.236125</v>
      </c>
      <c r="M134" s="75">
        <f>G134*M50/100</f>
        <v>0.64615625</v>
      </c>
      <c r="N134" s="75">
        <f>G134*N50/100</f>
        <v>0</v>
      </c>
    </row>
    <row r="135" spans="1:14" ht="15.75">
      <c r="A135" s="97"/>
      <c r="B135" s="48" t="s">
        <v>424</v>
      </c>
      <c r="C135" s="64">
        <f>2*J135*C51/100</f>
        <v>0.09449999999999834</v>
      </c>
      <c r="D135" s="64">
        <f>2*J135*D51/100</f>
        <v>1.085787953603886</v>
      </c>
      <c r="E135" s="64">
        <f>2*J135*E51/100</f>
        <v>1.9673384853543752</v>
      </c>
      <c r="F135" s="64">
        <f>2*J135*F51/100</f>
        <v>2.747930034508515</v>
      </c>
      <c r="G135" s="64">
        <f>2*J135*G51/100</f>
        <v>3.4225267994008393</v>
      </c>
      <c r="H135" s="64">
        <f>2*J135*H51/100</f>
        <v>3.9705189000428693</v>
      </c>
      <c r="I135" s="64">
        <f>2*J135*I51/100</f>
        <v>4.3522581357359265</v>
      </c>
      <c r="J135" s="64">
        <f>0.5*B36</f>
        <v>4.5</v>
      </c>
      <c r="K135" s="64">
        <f>2*J135*K51/100</f>
        <v>4.303157242677187</v>
      </c>
      <c r="L135" s="64">
        <f>2*J135*L51/100</f>
        <v>3.5120778178679632</v>
      </c>
      <c r="M135" s="64">
        <f>2*J135*M51/100</f>
        <v>2.666014261963594</v>
      </c>
      <c r="N135" s="64">
        <f>2*J135*N51/100</f>
        <v>0</v>
      </c>
    </row>
    <row r="136" spans="1:14" ht="15.75">
      <c r="A136" s="97"/>
      <c r="B136" s="48" t="s">
        <v>413</v>
      </c>
      <c r="C136" s="42"/>
      <c r="D136" s="56">
        <f>(E134-C134)/(C133-E133)</f>
        <v>0.47408203125000004</v>
      </c>
      <c r="E136" s="56">
        <f aca="true" t="shared" si="54" ref="E136:M136">(F134-D134)/(D133-F133)</f>
        <v>0.3160546875000001</v>
      </c>
      <c r="F136" s="56">
        <f t="shared" si="54"/>
        <v>0.15802734374999997</v>
      </c>
      <c r="G136" s="56">
        <f t="shared" si="54"/>
        <v>0.021948242187499818</v>
      </c>
      <c r="H136" s="56">
        <f t="shared" si="54"/>
        <v>-0.07023437500000002</v>
      </c>
      <c r="I136" s="56">
        <f t="shared" si="54"/>
        <v>-0.14046875</v>
      </c>
      <c r="J136" s="56">
        <f t="shared" si="54"/>
        <v>-0.21070312499999994</v>
      </c>
      <c r="K136" s="56">
        <f t="shared" si="54"/>
        <v>-0.28093749999999995</v>
      </c>
      <c r="L136" s="56">
        <f t="shared" si="54"/>
        <v>-0.33361328124999995</v>
      </c>
      <c r="M136" s="56">
        <f t="shared" si="54"/>
        <v>-0.38628906249999995</v>
      </c>
      <c r="N136" s="42"/>
    </row>
    <row r="137" spans="1:14" ht="12.75">
      <c r="A137" s="97"/>
      <c r="B137" s="54" t="s">
        <v>421</v>
      </c>
      <c r="C137" s="57">
        <f>D137-(E137-D137)</f>
        <v>0.5792781625477348</v>
      </c>
      <c r="D137" s="57">
        <f aca="true" t="shared" si="55" ref="D137:M137">ATAN(D136)</f>
        <v>0.4426990898915967</v>
      </c>
      <c r="E137" s="57">
        <f t="shared" si="55"/>
        <v>0.3061200172354585</v>
      </c>
      <c r="F137" s="57">
        <f t="shared" si="55"/>
        <v>0.15673125567272325</v>
      </c>
      <c r="G137" s="57">
        <f t="shared" si="55"/>
        <v>0.021944718864367146</v>
      </c>
      <c r="H137" s="57">
        <f t="shared" si="55"/>
        <v>-0.07011922998507314</v>
      </c>
      <c r="I137" s="57">
        <f t="shared" si="55"/>
        <v>-0.1395556509745623</v>
      </c>
      <c r="J137" s="57">
        <f t="shared" si="55"/>
        <v>-0.20766552577056166</v>
      </c>
      <c r="K137" s="57">
        <f t="shared" si="55"/>
        <v>-0.2738778347789133</v>
      </c>
      <c r="L137" s="57">
        <f t="shared" si="55"/>
        <v>-0.32200248635796336</v>
      </c>
      <c r="M137" s="57">
        <f t="shared" si="55"/>
        <v>-0.3686310133909029</v>
      </c>
      <c r="N137" s="57">
        <f>M137-(L137-M137)</f>
        <v>-0.4152595404238424</v>
      </c>
    </row>
    <row r="138" spans="1:14" ht="15.75">
      <c r="A138" s="97"/>
      <c r="B138" s="48" t="s">
        <v>414</v>
      </c>
      <c r="C138" s="64">
        <f aca="true" t="shared" si="56" ref="C138:N138">C133-C135*SIN(C137)</f>
        <v>31.94826880962177</v>
      </c>
      <c r="D138" s="64">
        <f t="shared" si="56"/>
        <v>28.33487024691644</v>
      </c>
      <c r="E138" s="64">
        <f t="shared" si="56"/>
        <v>25.007120293568285</v>
      </c>
      <c r="F138" s="64">
        <f t="shared" si="56"/>
        <v>21.971074590646644</v>
      </c>
      <c r="G138" s="64">
        <f t="shared" si="56"/>
        <v>19.12489963960874</v>
      </c>
      <c r="H138" s="64">
        <f t="shared" si="56"/>
        <v>16.27818164084212</v>
      </c>
      <c r="I138" s="64">
        <f t="shared" si="56"/>
        <v>13.405412595937893</v>
      </c>
      <c r="J138" s="64">
        <f t="shared" si="56"/>
        <v>10.527792656662054</v>
      </c>
      <c r="K138" s="64">
        <f t="shared" si="56"/>
        <v>7.563861023553114</v>
      </c>
      <c r="L138" s="64">
        <f t="shared" si="56"/>
        <v>4.31145588656385</v>
      </c>
      <c r="M138" s="64">
        <f t="shared" si="56"/>
        <v>2.5606682462545365</v>
      </c>
      <c r="N138" s="64">
        <f t="shared" si="56"/>
        <v>0</v>
      </c>
    </row>
    <row r="139" spans="1:14" ht="15.75">
      <c r="A139" s="97"/>
      <c r="B139" s="48" t="s">
        <v>415</v>
      </c>
      <c r="C139" s="64">
        <f>C134+C135*COS(C137)</f>
        <v>0.07908308252749804</v>
      </c>
      <c r="D139" s="64">
        <f aca="true" t="shared" si="57" ref="D139:N139">D134+D135*COS(D137)</f>
        <v>2.751022855194174</v>
      </c>
      <c r="E139" s="64">
        <f t="shared" si="57"/>
        <v>4.910001960159671</v>
      </c>
      <c r="F139" s="64">
        <f t="shared" si="57"/>
        <v>6.506904298311913</v>
      </c>
      <c r="G139" s="64">
        <f t="shared" si="57"/>
        <v>7.467202738182563</v>
      </c>
      <c r="H139" s="64">
        <f t="shared" si="57"/>
        <v>7.893886960822187</v>
      </c>
      <c r="I139" s="64">
        <f t="shared" si="57"/>
        <v>7.905945065631267</v>
      </c>
      <c r="J139" s="64">
        <f t="shared" si="57"/>
        <v>7.437442020865516</v>
      </c>
      <c r="K139" s="64">
        <f t="shared" si="57"/>
        <v>6.390275612202407</v>
      </c>
      <c r="L139" s="64">
        <f t="shared" si="57"/>
        <v>4.567694661733453</v>
      </c>
      <c r="M139" s="64">
        <f t="shared" si="57"/>
        <v>3.133071722152506</v>
      </c>
      <c r="N139" s="64">
        <f t="shared" si="57"/>
        <v>0</v>
      </c>
    </row>
    <row r="140" spans="1:14" ht="15.75">
      <c r="A140" s="97"/>
      <c r="B140" s="48" t="s">
        <v>416</v>
      </c>
      <c r="C140" s="64">
        <f>C133+C135*SIN(C137)</f>
        <v>32.05173119037823</v>
      </c>
      <c r="D140" s="64">
        <f aca="true" t="shared" si="58" ref="D140:N140">D133+D135*SIN(D137)</f>
        <v>29.26512975308356</v>
      </c>
      <c r="E140" s="64">
        <f t="shared" si="58"/>
        <v>26.192879706431718</v>
      </c>
      <c r="F140" s="64">
        <f t="shared" si="58"/>
        <v>22.828925409353353</v>
      </c>
      <c r="G140" s="64">
        <f t="shared" si="58"/>
        <v>19.27510036039126</v>
      </c>
      <c r="H140" s="64">
        <f t="shared" si="58"/>
        <v>15.72181835915788</v>
      </c>
      <c r="I140" s="64">
        <f t="shared" si="58"/>
        <v>12.194587404062109</v>
      </c>
      <c r="J140" s="64">
        <f t="shared" si="58"/>
        <v>8.672207343337945</v>
      </c>
      <c r="K140" s="64">
        <f t="shared" si="58"/>
        <v>5.236138976446886</v>
      </c>
      <c r="L140" s="64">
        <f t="shared" si="58"/>
        <v>2.08854411343615</v>
      </c>
      <c r="M140" s="64">
        <f t="shared" si="58"/>
        <v>0.6393317537454638</v>
      </c>
      <c r="N140" s="64">
        <f t="shared" si="58"/>
        <v>0</v>
      </c>
    </row>
    <row r="141" spans="1:14" ht="15.75">
      <c r="A141" s="97"/>
      <c r="B141" s="78" t="s">
        <v>399</v>
      </c>
      <c r="C141" s="64">
        <f>C134-C135*COS(C137)</f>
        <v>-0.07908308252749804</v>
      </c>
      <c r="D141" s="64">
        <f aca="true" t="shared" si="59" ref="D141:N141">D134-D135*COS(D137)</f>
        <v>0.7887896448058247</v>
      </c>
      <c r="E141" s="64">
        <f t="shared" si="59"/>
        <v>1.1582480398403279</v>
      </c>
      <c r="F141" s="64">
        <f t="shared" si="59"/>
        <v>1.078408201688088</v>
      </c>
      <c r="G141" s="64">
        <f t="shared" si="59"/>
        <v>0.6237972618174359</v>
      </c>
      <c r="H141" s="64">
        <f t="shared" si="59"/>
        <v>-0.02763696082218825</v>
      </c>
      <c r="I141" s="64">
        <f t="shared" si="59"/>
        <v>-0.7139450656312678</v>
      </c>
      <c r="J141" s="64">
        <f t="shared" si="59"/>
        <v>-1.3691920208655173</v>
      </c>
      <c r="K141" s="64">
        <f t="shared" si="59"/>
        <v>-1.8952756122024073</v>
      </c>
      <c r="L141" s="64">
        <f t="shared" si="59"/>
        <v>-2.095444661733454</v>
      </c>
      <c r="M141" s="64">
        <f t="shared" si="59"/>
        <v>-1.8407592221525058</v>
      </c>
      <c r="N141" s="64">
        <f t="shared" si="59"/>
        <v>0</v>
      </c>
    </row>
    <row r="142" spans="1:8" ht="12.75">
      <c r="A142" s="17" t="s">
        <v>422</v>
      </c>
      <c r="H142" s="19"/>
    </row>
    <row r="144" ht="12.75">
      <c r="A144" t="s">
        <v>140</v>
      </c>
    </row>
    <row r="145" ht="12.75">
      <c r="A145" t="s">
        <v>141</v>
      </c>
    </row>
    <row r="150" ht="12.75">
      <c r="A150" t="s">
        <v>142</v>
      </c>
    </row>
    <row r="155" ht="12.75">
      <c r="A155" t="s">
        <v>143</v>
      </c>
    </row>
    <row r="161" ht="12.75">
      <c r="A161" t="s">
        <v>144</v>
      </c>
    </row>
    <row r="168" ht="12.75">
      <c r="A168" t="s">
        <v>145</v>
      </c>
    </row>
    <row r="176" ht="12.75">
      <c r="A176" t="s">
        <v>146</v>
      </c>
    </row>
    <row r="185" ht="12.75">
      <c r="A185" t="s">
        <v>147</v>
      </c>
    </row>
    <row r="194" ht="12.75">
      <c r="A194" t="s">
        <v>148</v>
      </c>
    </row>
    <row r="204" ht="12.75">
      <c r="A204" t="s">
        <v>149</v>
      </c>
    </row>
    <row r="216" ht="12.75">
      <c r="A216" t="s">
        <v>150</v>
      </c>
    </row>
    <row r="217" spans="1:11" ht="15.75">
      <c r="A217" s="20" t="s">
        <v>151</v>
      </c>
      <c r="B217" s="18"/>
      <c r="C217" t="s">
        <v>164</v>
      </c>
      <c r="D217" t="s">
        <v>152</v>
      </c>
      <c r="E217" s="21" t="s">
        <v>153</v>
      </c>
      <c r="F217" s="21" t="s">
        <v>165</v>
      </c>
      <c r="G217" s="10" t="s">
        <v>154</v>
      </c>
      <c r="H217" s="21" t="s">
        <v>155</v>
      </c>
      <c r="I217" s="23" t="s">
        <v>166</v>
      </c>
      <c r="J217" s="4" t="s">
        <v>431</v>
      </c>
      <c r="K217" s="4" t="s">
        <v>432</v>
      </c>
    </row>
    <row r="218" spans="1:12" ht="15.75">
      <c r="A218" s="4" t="s">
        <v>123</v>
      </c>
      <c r="B218" s="4" t="s">
        <v>159</v>
      </c>
      <c r="C218" s="4" t="s">
        <v>396</v>
      </c>
      <c r="D218" s="4" t="s">
        <v>397</v>
      </c>
      <c r="E218" s="8" t="s">
        <v>425</v>
      </c>
      <c r="F218" s="22" t="s">
        <v>426</v>
      </c>
      <c r="G218" s="4" t="s">
        <v>398</v>
      </c>
      <c r="H218" s="8" t="s">
        <v>427</v>
      </c>
      <c r="I218" s="22" t="s">
        <v>428</v>
      </c>
      <c r="J218" s="22" t="s">
        <v>429</v>
      </c>
      <c r="K218" s="22" t="s">
        <v>430</v>
      </c>
      <c r="L218" s="21"/>
    </row>
    <row r="219" spans="2:11" ht="12.75">
      <c r="B219" s="4" t="s">
        <v>158</v>
      </c>
      <c r="C219" s="4" t="s">
        <v>158</v>
      </c>
      <c r="D219" s="4" t="s">
        <v>158</v>
      </c>
      <c r="E219" s="4" t="s">
        <v>161</v>
      </c>
      <c r="F219" s="4" t="s">
        <v>158</v>
      </c>
      <c r="G219" s="4" t="s">
        <v>158</v>
      </c>
      <c r="H219" s="4" t="s">
        <v>161</v>
      </c>
      <c r="I219" s="4" t="s">
        <v>158</v>
      </c>
      <c r="J219" s="4" t="s">
        <v>158</v>
      </c>
      <c r="K219" s="4" t="s">
        <v>158</v>
      </c>
    </row>
    <row r="220" spans="1:11" ht="12.75">
      <c r="A220" s="4">
        <v>0.95</v>
      </c>
      <c r="B220" s="7">
        <f>1000*örvény!G5*A220</f>
        <v>142.5</v>
      </c>
      <c r="C220" s="7">
        <f>C17</f>
        <v>17</v>
      </c>
      <c r="D220" s="7">
        <f>-D17</f>
        <v>8.5</v>
      </c>
      <c r="E220" s="7">
        <f>(D220/E235)*(180/PI())</f>
        <v>3.175942735863729</v>
      </c>
      <c r="F220" s="7">
        <f>-E235*SIN(E220/(180/PI()))</f>
        <v>-8.495647878442293</v>
      </c>
      <c r="G220" s="7">
        <f>E17</f>
        <v>8.5</v>
      </c>
      <c r="H220" s="7">
        <f>(G220/E235)*(180/PI())</f>
        <v>3.175942735863729</v>
      </c>
      <c r="I220" s="7">
        <f>E235*SIN(H220/(180/PI()))</f>
        <v>8.495647878442293</v>
      </c>
      <c r="J220">
        <f aca="true" t="shared" si="60" ref="J220:J228">E235*(1-COS((E220*PI()/180)))</f>
        <v>0.23551998145283334</v>
      </c>
      <c r="K220">
        <f aca="true" t="shared" si="61" ref="K220:K228">E235*(1-COS((H220*PI()/180)))</f>
        <v>0.23551998145283334</v>
      </c>
    </row>
    <row r="221" spans="1:11" ht="12.75">
      <c r="A221" s="4">
        <v>0.9</v>
      </c>
      <c r="B221" s="7">
        <f>1000*örvény!G5*A221</f>
        <v>135</v>
      </c>
      <c r="C221" s="7">
        <f>C15</f>
        <v>29</v>
      </c>
      <c r="D221" s="7">
        <f>-D15</f>
        <v>14.5</v>
      </c>
      <c r="E221" s="7">
        <f>(D221/E236)*(180/PI())</f>
        <v>5.683683262273814</v>
      </c>
      <c r="F221" s="7">
        <f>-E236*SIN(E221/(180/PI()))</f>
        <v>-14.476230637300846</v>
      </c>
      <c r="G221" s="7">
        <f>E15</f>
        <v>14.5</v>
      </c>
      <c r="H221" s="7">
        <f>(G221/E236)*(180/PI())</f>
        <v>5.683683262273814</v>
      </c>
      <c r="I221" s="7">
        <f aca="true" t="shared" si="62" ref="I221:I228">E236*SIN(H221/(180/PI()))</f>
        <v>14.476230637300846</v>
      </c>
      <c r="J221">
        <f t="shared" si="60"/>
        <v>0.7186030817475426</v>
      </c>
      <c r="K221">
        <f t="shared" si="61"/>
        <v>0.7186030817475426</v>
      </c>
    </row>
    <row r="222" spans="1:11" ht="12.75">
      <c r="A222" s="4">
        <v>0.8</v>
      </c>
      <c r="B222" s="7">
        <f>1000*örvény!G5*A222</f>
        <v>120</v>
      </c>
      <c r="C222" s="7">
        <f>C14</f>
        <v>34</v>
      </c>
      <c r="D222" s="7">
        <f>-D14</f>
        <v>17</v>
      </c>
      <c r="E222" s="7">
        <f aca="true" t="shared" si="63" ref="E222:E228">(D222/E237)*(180/PI())</f>
        <v>7.35881929990695</v>
      </c>
      <c r="F222" s="7">
        <f aca="true" t="shared" si="64" ref="F222:F228">-E237*SIN(E222/(180/PI()))</f>
        <v>-16.953300688600862</v>
      </c>
      <c r="G222" s="7">
        <f>E14</f>
        <v>17</v>
      </c>
      <c r="H222" s="7">
        <f aca="true" t="shared" si="65" ref="H222:H228">(G222/E237)*(180/PI())</f>
        <v>7.35881929990695</v>
      </c>
      <c r="I222" s="7">
        <f t="shared" si="62"/>
        <v>16.953300688600862</v>
      </c>
      <c r="J222">
        <f t="shared" si="60"/>
        <v>1.0902029434987963</v>
      </c>
      <c r="K222">
        <f t="shared" si="61"/>
        <v>1.0902029434987963</v>
      </c>
    </row>
    <row r="223" spans="1:11" ht="12.75">
      <c r="A223" s="4">
        <v>0.7</v>
      </c>
      <c r="B223" s="7">
        <f>1000*örvény!G5*A223</f>
        <v>105</v>
      </c>
      <c r="C223" s="7">
        <f>C13</f>
        <v>36.25</v>
      </c>
      <c r="D223" s="7">
        <f>-D13</f>
        <v>18.125</v>
      </c>
      <c r="E223" s="7">
        <f t="shared" si="63"/>
        <v>8.72592888867203</v>
      </c>
      <c r="F223" s="7">
        <f t="shared" si="64"/>
        <v>-18.05501561172337</v>
      </c>
      <c r="G223" s="7">
        <f>E13</f>
        <v>18.125</v>
      </c>
      <c r="H223" s="7">
        <f t="shared" si="65"/>
        <v>8.72592888867203</v>
      </c>
      <c r="I223" s="7">
        <f t="shared" si="62"/>
        <v>18.05501561172337</v>
      </c>
      <c r="J223">
        <f t="shared" si="60"/>
        <v>1.3775185971561845</v>
      </c>
      <c r="K223">
        <f t="shared" si="61"/>
        <v>1.3775185971561845</v>
      </c>
    </row>
    <row r="224" spans="1:11" ht="12.75">
      <c r="A224" s="4">
        <v>0.6</v>
      </c>
      <c r="B224" s="7">
        <f>1000*örvény!G5*A224</f>
        <v>90</v>
      </c>
      <c r="C224" s="7">
        <f>C12</f>
        <v>36.75</v>
      </c>
      <c r="D224" s="7">
        <f>-D12</f>
        <v>18.375</v>
      </c>
      <c r="E224" s="7">
        <f t="shared" si="63"/>
        <v>9.906095063223784</v>
      </c>
      <c r="F224" s="7">
        <f t="shared" si="64"/>
        <v>-18.283591477637504</v>
      </c>
      <c r="G224" s="7">
        <f>E12</f>
        <v>18.375</v>
      </c>
      <c r="H224" s="7">
        <f t="shared" si="65"/>
        <v>9.906095063223784</v>
      </c>
      <c r="I224" s="7">
        <f t="shared" si="62"/>
        <v>18.283591477637504</v>
      </c>
      <c r="J224">
        <f t="shared" si="60"/>
        <v>1.5845104291668204</v>
      </c>
      <c r="K224">
        <f t="shared" si="61"/>
        <v>1.5845104291668204</v>
      </c>
    </row>
    <row r="225" spans="1:11" ht="12.75">
      <c r="A225" s="4">
        <v>0.5</v>
      </c>
      <c r="B225" s="7">
        <f>1000*örvény!G5*A225</f>
        <v>75</v>
      </c>
      <c r="C225" s="7">
        <f>C11</f>
        <v>36.5</v>
      </c>
      <c r="D225" s="7">
        <f>-D11</f>
        <v>18.25</v>
      </c>
      <c r="E225" s="7">
        <f t="shared" si="63"/>
        <v>11.060983685802821</v>
      </c>
      <c r="F225" s="7">
        <f t="shared" si="64"/>
        <v>-18.1368526086887</v>
      </c>
      <c r="G225" s="7">
        <f>E11</f>
        <v>18.25</v>
      </c>
      <c r="H225" s="7">
        <f t="shared" si="65"/>
        <v>11.060983685802821</v>
      </c>
      <c r="I225" s="7">
        <f t="shared" si="62"/>
        <v>18.1368526086887</v>
      </c>
      <c r="J225">
        <f t="shared" si="60"/>
        <v>1.756122391195546</v>
      </c>
      <c r="K225">
        <f t="shared" si="61"/>
        <v>1.756122391195546</v>
      </c>
    </row>
    <row r="226" spans="1:11" ht="12.75">
      <c r="A226" s="4">
        <v>0.4</v>
      </c>
      <c r="B226" s="7">
        <f>1000*örvény!G5*A226</f>
        <v>60</v>
      </c>
      <c r="C226" s="7">
        <f>C10</f>
        <v>36</v>
      </c>
      <c r="D226" s="7">
        <f>-D10</f>
        <v>18</v>
      </c>
      <c r="E226" s="7">
        <f t="shared" si="63"/>
        <v>12.202108587825112</v>
      </c>
      <c r="F226" s="7">
        <f t="shared" si="64"/>
        <v>-17.864243435833103</v>
      </c>
      <c r="G226" s="7">
        <f>E10</f>
        <v>18</v>
      </c>
      <c r="H226" s="7">
        <f t="shared" si="65"/>
        <v>12.202108587825112</v>
      </c>
      <c r="I226" s="7">
        <f t="shared" si="62"/>
        <v>17.864243435833103</v>
      </c>
      <c r="J226">
        <f t="shared" si="60"/>
        <v>1.9094693516050527</v>
      </c>
      <c r="K226">
        <f t="shared" si="61"/>
        <v>1.9094693516050527</v>
      </c>
    </row>
    <row r="227" spans="1:11" ht="12.75">
      <c r="A227" s="4">
        <v>0.3</v>
      </c>
      <c r="B227" s="7">
        <f>1000*örvény!G5*A227</f>
        <v>45</v>
      </c>
      <c r="C227" s="7">
        <f>C9</f>
        <v>34.5</v>
      </c>
      <c r="D227" s="7">
        <f>-D9</f>
        <v>17.25</v>
      </c>
      <c r="E227" s="7">
        <f t="shared" si="63"/>
        <v>12.67680368362173</v>
      </c>
      <c r="F227" s="7">
        <f t="shared" si="64"/>
        <v>-17.109605833339216</v>
      </c>
      <c r="G227" s="7">
        <f>E9</f>
        <v>17.25</v>
      </c>
      <c r="H227" s="7">
        <f t="shared" si="65"/>
        <v>12.67680368362173</v>
      </c>
      <c r="I227" s="7">
        <f t="shared" si="62"/>
        <v>17.109605833339216</v>
      </c>
      <c r="J227">
        <f t="shared" si="60"/>
        <v>1.9005262186442642</v>
      </c>
      <c r="K227">
        <f t="shared" si="61"/>
        <v>1.9005262186442642</v>
      </c>
    </row>
    <row r="228" spans="1:11" ht="12.75">
      <c r="A228" s="4">
        <v>0.2</v>
      </c>
      <c r="B228" s="7">
        <f>1000*örvény!G5*A228</f>
        <v>30</v>
      </c>
      <c r="C228" s="7">
        <f>C8</f>
        <v>32</v>
      </c>
      <c r="D228" s="7">
        <f>-D8</f>
        <v>16</v>
      </c>
      <c r="E228" s="7">
        <f t="shared" si="63"/>
        <v>11.420779716134598</v>
      </c>
      <c r="F228" s="7">
        <f t="shared" si="64"/>
        <v>-15.894256871409866</v>
      </c>
      <c r="G228" s="7">
        <f>E8</f>
        <v>16</v>
      </c>
      <c r="H228" s="7">
        <f t="shared" si="65"/>
        <v>11.420779716134598</v>
      </c>
      <c r="I228" s="7">
        <f t="shared" si="62"/>
        <v>15.894256871409866</v>
      </c>
      <c r="J228">
        <f t="shared" si="60"/>
        <v>1.589368732088813</v>
      </c>
      <c r="K228">
        <f t="shared" si="61"/>
        <v>1.589368732088813</v>
      </c>
    </row>
    <row r="230" ht="12.75">
      <c r="A230" t="s">
        <v>156</v>
      </c>
    </row>
    <row r="231" spans="1:9" ht="12.75">
      <c r="A231" s="18" t="s">
        <v>167</v>
      </c>
      <c r="B231" s="18"/>
      <c r="C231" s="18"/>
      <c r="D231" s="18"/>
      <c r="E231" s="18"/>
      <c r="F231" s="18"/>
      <c r="G231" s="18"/>
      <c r="H231" s="27" t="s">
        <v>168</v>
      </c>
      <c r="I231" s="18"/>
    </row>
    <row r="232" spans="1:14" ht="12.75">
      <c r="A232" s="20" t="s">
        <v>151</v>
      </c>
      <c r="B232" s="18"/>
      <c r="C232" s="18" t="s">
        <v>157</v>
      </c>
      <c r="D232" s="18"/>
      <c r="E232" s="26" t="s">
        <v>171</v>
      </c>
      <c r="F232" s="28" t="s">
        <v>435</v>
      </c>
      <c r="G232" s="28" t="s">
        <v>436</v>
      </c>
      <c r="H232" s="4" t="s">
        <v>162</v>
      </c>
      <c r="I232" s="18" t="s">
        <v>163</v>
      </c>
      <c r="M232" s="25"/>
      <c r="N232" s="25"/>
    </row>
    <row r="233" spans="1:14" ht="15.75">
      <c r="A233" s="4" t="s">
        <v>123</v>
      </c>
      <c r="B233" s="4" t="s">
        <v>159</v>
      </c>
      <c r="C233" s="4" t="s">
        <v>160</v>
      </c>
      <c r="D233" s="24" t="s">
        <v>169</v>
      </c>
      <c r="E233" s="28" t="s">
        <v>172</v>
      </c>
      <c r="F233" s="28" t="s">
        <v>433</v>
      </c>
      <c r="G233" s="28" t="s">
        <v>434</v>
      </c>
      <c r="H233" s="25" t="s">
        <v>437</v>
      </c>
      <c r="I233" s="25" t="s">
        <v>438</v>
      </c>
      <c r="K233" s="25" t="s">
        <v>187</v>
      </c>
      <c r="M233" s="28"/>
      <c r="N233" s="28"/>
    </row>
    <row r="234" spans="2:9" ht="12.75">
      <c r="B234" s="4" t="s">
        <v>158</v>
      </c>
      <c r="C234" s="4" t="s">
        <v>158</v>
      </c>
      <c r="D234" s="4" t="s">
        <v>170</v>
      </c>
      <c r="E234" s="4" t="s">
        <v>158</v>
      </c>
      <c r="F234" s="4" t="s">
        <v>158</v>
      </c>
      <c r="G234" s="4" t="s">
        <v>158</v>
      </c>
      <c r="H234" s="4" t="s">
        <v>158</v>
      </c>
      <c r="I234" s="4" t="s">
        <v>158</v>
      </c>
    </row>
    <row r="235" spans="1:14" ht="12.75">
      <c r="A235" s="4">
        <v>0.95</v>
      </c>
      <c r="B235" s="7">
        <f>1000*örvény!G5*A235</f>
        <v>142.5</v>
      </c>
      <c r="C235" s="14">
        <f>1000*örvény!G176</f>
        <v>247</v>
      </c>
      <c r="D235" s="7">
        <f>ATAN(C235/(2*B235*PI()))*180/PI()</f>
        <v>15.422507353637345</v>
      </c>
      <c r="E235" s="7">
        <f>C235/(2*PI()*SIN(D235/(180/PI()))*COS(D235/(180/PI())))</f>
        <v>153.34474402251823</v>
      </c>
      <c r="F235" s="7">
        <f>-POWER(POWER(B235,2)-POWER(B235-E235*(1-COS((E220*PI()/180))),2),0.5)</f>
        <v>-8.189488692976584</v>
      </c>
      <c r="G235" s="7">
        <f>POWER(POWER(B235,2)-POWER(B235-E235*(1-COS((H220*PI()/180))),2),0.5)</f>
        <v>8.189488692976584</v>
      </c>
      <c r="H235" s="7">
        <f>F235*TAN(D235*PI()/180)</f>
        <v>-2.2592225185961747</v>
      </c>
      <c r="I235" s="7">
        <f>G235*TAN(D235*PI()/180)</f>
        <v>2.2592225185961747</v>
      </c>
      <c r="K235" s="7">
        <f>POWER(POWER(B235/COS(D235/(180/PI())),2)+POWER((C235/(2*PI()))/COS(D235/(180/PI())),2),0.5)</f>
        <v>153.34474402251823</v>
      </c>
      <c r="M235" s="7"/>
      <c r="N235" s="7"/>
    </row>
    <row r="236" spans="1:14" ht="12.75">
      <c r="A236" s="4">
        <v>0.9</v>
      </c>
      <c r="B236" s="7">
        <f>1000*örvény!G5*A236</f>
        <v>135</v>
      </c>
      <c r="C236" s="14">
        <f>1000*örvény!G175</f>
        <v>244</v>
      </c>
      <c r="D236" s="7">
        <f aca="true" t="shared" si="66" ref="D236:D243">ATAN(C236/(2*B236*PI()))*180/PI()</f>
        <v>16.04829518762397</v>
      </c>
      <c r="E236" s="7">
        <f aca="true" t="shared" si="67" ref="E236:E243">C236/(2*PI()*SIN(D236/(180/PI()))*COS(D236/(180/PI())))</f>
        <v>146.17084812838928</v>
      </c>
      <c r="F236" s="7">
        <f aca="true" t="shared" si="68" ref="F236:F243">-POWER(POWER(B236,2)-POWER(B236-E236*(1-COS((E221*PI()/180))),2),0.5)</f>
        <v>-13.910659282821245</v>
      </c>
      <c r="G236" s="7">
        <f aca="true" t="shared" si="69" ref="G236:G243">POWER(POWER(B236,2)-POWER(B236-E236*(1-COS((H221*PI()/180))),2),0.5)</f>
        <v>13.910659282821245</v>
      </c>
      <c r="H236" s="7">
        <f aca="true" t="shared" si="70" ref="H236:H243">F236*TAN(D236*PI()/180)</f>
        <v>-4.0015099667620095</v>
      </c>
      <c r="I236" s="7">
        <f aca="true" t="shared" si="71" ref="I236:I243">G236*TAN(D236*PI()/180)</f>
        <v>4.0015099667620095</v>
      </c>
      <c r="K236" s="7">
        <f aca="true" t="shared" si="72" ref="K236:K243">POWER(POWER(B236/COS(D236/(180/PI())),2)+POWER((C236/(2*PI()))/COS(D236/(180/PI())),2),0.5)</f>
        <v>146.1708481283893</v>
      </c>
      <c r="M236" s="7"/>
      <c r="N236" s="7"/>
    </row>
    <row r="237" spans="1:14" ht="12.75">
      <c r="A237" s="4">
        <v>0.8</v>
      </c>
      <c r="B237" s="7">
        <f>1000*örvény!G5*A237</f>
        <v>120</v>
      </c>
      <c r="C237" s="14">
        <f>1000*örvény!G174</f>
        <v>242</v>
      </c>
      <c r="D237" s="7">
        <f t="shared" si="66"/>
        <v>17.794680669515984</v>
      </c>
      <c r="E237" s="7">
        <f t="shared" si="67"/>
        <v>132.36202874756222</v>
      </c>
      <c r="F237" s="7">
        <f t="shared" si="68"/>
        <v>-16.138778267938914</v>
      </c>
      <c r="G237" s="7">
        <f t="shared" si="69"/>
        <v>16.138778267938914</v>
      </c>
      <c r="H237" s="7">
        <f t="shared" si="70"/>
        <v>-5.179942112559846</v>
      </c>
      <c r="I237" s="7">
        <f t="shared" si="71"/>
        <v>5.179942112559846</v>
      </c>
      <c r="K237" s="7">
        <f t="shared" si="72"/>
        <v>132.36202874756222</v>
      </c>
      <c r="M237" s="7"/>
      <c r="N237" s="7"/>
    </row>
    <row r="238" spans="1:14" ht="12.75">
      <c r="A238" s="4">
        <v>0.7</v>
      </c>
      <c r="B238" s="7">
        <f>1000*örvény!G5*A238</f>
        <v>105</v>
      </c>
      <c r="C238" s="14">
        <f>1000*örvény!G173</f>
        <v>241</v>
      </c>
      <c r="D238" s="7">
        <f t="shared" si="66"/>
        <v>20.067172249859482</v>
      </c>
      <c r="E238" s="7">
        <f t="shared" si="67"/>
        <v>119.01151349316815</v>
      </c>
      <c r="F238" s="7">
        <f t="shared" si="68"/>
        <v>-16.952325737705955</v>
      </c>
      <c r="G238" s="7">
        <f t="shared" si="69"/>
        <v>16.952325737705955</v>
      </c>
      <c r="H238" s="7">
        <f t="shared" si="70"/>
        <v>-6.19265896735645</v>
      </c>
      <c r="I238" s="7">
        <f t="shared" si="71"/>
        <v>6.19265896735645</v>
      </c>
      <c r="K238" s="7">
        <f t="shared" si="72"/>
        <v>119.01151349316814</v>
      </c>
      <c r="M238" s="7"/>
      <c r="N238" s="7"/>
    </row>
    <row r="239" spans="1:14" ht="12.75">
      <c r="A239" s="4">
        <v>0.6</v>
      </c>
      <c r="B239" s="7">
        <f>1000*örvény!G5*A239</f>
        <v>90</v>
      </c>
      <c r="C239" s="14">
        <f>1000*örvény!G172</f>
        <v>240.5</v>
      </c>
      <c r="D239" s="7">
        <f t="shared" si="66"/>
        <v>23.039922118696136</v>
      </c>
      <c r="E239" s="7">
        <f t="shared" si="67"/>
        <v>106.27900720046868</v>
      </c>
      <c r="F239" s="7">
        <f t="shared" si="68"/>
        <v>-16.813720705123256</v>
      </c>
      <c r="G239" s="7">
        <f t="shared" si="69"/>
        <v>16.813720705123256</v>
      </c>
      <c r="H239" s="7">
        <f t="shared" si="70"/>
        <v>-7.150831291753921</v>
      </c>
      <c r="I239" s="7">
        <f t="shared" si="71"/>
        <v>7.150831291753921</v>
      </c>
      <c r="K239" s="7">
        <f t="shared" si="72"/>
        <v>106.27900720046868</v>
      </c>
      <c r="M239" s="7"/>
      <c r="N239" s="7"/>
    </row>
    <row r="240" spans="1:14" ht="12.75">
      <c r="A240" s="4">
        <v>0.5</v>
      </c>
      <c r="B240" s="7">
        <f>1000*örvény!G5*A240</f>
        <v>75</v>
      </c>
      <c r="C240" s="14">
        <f>1000*örvény!G171</f>
        <v>240.5</v>
      </c>
      <c r="D240" s="7">
        <f t="shared" si="66"/>
        <v>27.037804981702905</v>
      </c>
      <c r="E240" s="7">
        <f t="shared" si="67"/>
        <v>94.5348086405624</v>
      </c>
      <c r="F240" s="7">
        <f t="shared" si="68"/>
        <v>-16.13488124612245</v>
      </c>
      <c r="G240" s="7">
        <f t="shared" si="69"/>
        <v>16.13488124612245</v>
      </c>
      <c r="H240" s="7">
        <f t="shared" si="70"/>
        <v>-8.234547181577687</v>
      </c>
      <c r="I240" s="7">
        <f t="shared" si="71"/>
        <v>8.234547181577687</v>
      </c>
      <c r="K240" s="7">
        <f t="shared" si="72"/>
        <v>94.53480864056243</v>
      </c>
      <c r="M240" s="7"/>
      <c r="N240" s="7"/>
    </row>
    <row r="241" spans="1:14" ht="12.75">
      <c r="A241" s="4">
        <v>0.4</v>
      </c>
      <c r="B241" s="7">
        <f>1000*örvény!G5*A241</f>
        <v>60</v>
      </c>
      <c r="C241" s="14">
        <f>1000*örvény!G170</f>
        <v>241</v>
      </c>
      <c r="D241" s="7">
        <f t="shared" si="66"/>
        <v>32.589656822562254</v>
      </c>
      <c r="E241" s="7">
        <f t="shared" si="67"/>
        <v>84.52014861304424</v>
      </c>
      <c r="F241" s="7">
        <f t="shared" si="68"/>
        <v>-15.016332740981976</v>
      </c>
      <c r="G241" s="7">
        <f t="shared" si="69"/>
        <v>15.016332740981976</v>
      </c>
      <c r="H241" s="7">
        <f t="shared" si="70"/>
        <v>-9.599526391073807</v>
      </c>
      <c r="I241" s="7">
        <f t="shared" si="71"/>
        <v>9.599526391073807</v>
      </c>
      <c r="K241" s="7">
        <f t="shared" si="72"/>
        <v>84.52014861304426</v>
      </c>
      <c r="M241" s="7"/>
      <c r="N241" s="7"/>
    </row>
    <row r="242" spans="1:14" ht="12.75">
      <c r="A242" s="4">
        <v>0.3</v>
      </c>
      <c r="B242" s="7">
        <f>1000*örvény!G5*A242</f>
        <v>45</v>
      </c>
      <c r="C242" s="14">
        <f>1000*örvény!G169</f>
        <v>242</v>
      </c>
      <c r="D242" s="7">
        <f t="shared" si="66"/>
        <v>40.560215913895796</v>
      </c>
      <c r="E242" s="7">
        <f t="shared" si="67"/>
        <v>77.96540999349928</v>
      </c>
      <c r="F242" s="7">
        <f t="shared" si="68"/>
        <v>-12.939681594623176</v>
      </c>
      <c r="G242" s="7">
        <f t="shared" si="69"/>
        <v>12.939681594623176</v>
      </c>
      <c r="H242" s="7">
        <f t="shared" si="70"/>
        <v>-11.075072392273741</v>
      </c>
      <c r="I242" s="7">
        <f t="shared" si="71"/>
        <v>11.075072392273741</v>
      </c>
      <c r="K242" s="7">
        <f t="shared" si="72"/>
        <v>77.96540999349928</v>
      </c>
      <c r="M242" s="7"/>
      <c r="N242" s="7"/>
    </row>
    <row r="243" spans="1:14" ht="12.75">
      <c r="A243" s="4">
        <v>0.2</v>
      </c>
      <c r="B243" s="7">
        <f>1000*örvény!G5*A243</f>
        <v>30</v>
      </c>
      <c r="C243" s="14">
        <f>1000*örvény!G168</f>
        <v>244</v>
      </c>
      <c r="D243" s="7">
        <f t="shared" si="66"/>
        <v>52.313096246497736</v>
      </c>
      <c r="E243" s="7">
        <f t="shared" si="67"/>
        <v>80.26881657775186</v>
      </c>
      <c r="F243" s="7">
        <f t="shared" si="68"/>
        <v>-9.635145611706516</v>
      </c>
      <c r="G243" s="7">
        <f t="shared" si="69"/>
        <v>9.635145611706516</v>
      </c>
      <c r="H243" s="7">
        <f t="shared" si="70"/>
        <v>-12.47231255230798</v>
      </c>
      <c r="I243" s="7">
        <f t="shared" si="71"/>
        <v>12.47231255230798</v>
      </c>
      <c r="K243" s="7">
        <f t="shared" si="72"/>
        <v>80.26881657775186</v>
      </c>
      <c r="M243" s="7"/>
      <c r="N243" s="7"/>
    </row>
  </sheetData>
  <mergeCells count="9">
    <mergeCell ref="A133:A141"/>
    <mergeCell ref="A61:A69"/>
    <mergeCell ref="A106:A114"/>
    <mergeCell ref="A115:A123"/>
    <mergeCell ref="A124:A132"/>
    <mergeCell ref="A97:A105"/>
    <mergeCell ref="A88:A96"/>
    <mergeCell ref="A79:A87"/>
    <mergeCell ref="A70:A7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jozsibacsi</dc:creator>
  <cp:keywords/>
  <dc:description/>
  <cp:lastModifiedBy>jozsibacsi</cp:lastModifiedBy>
  <cp:lastPrinted>2013-11-27T05:59:45Z</cp:lastPrinted>
  <dcterms:created xsi:type="dcterms:W3CDTF">2012-02-09T12:04:35Z</dcterms:created>
  <dcterms:modified xsi:type="dcterms:W3CDTF">2013-11-27T06:03:14Z</dcterms:modified>
  <cp:category/>
  <cp:version/>
  <cp:contentType/>
  <cp:contentStatus/>
</cp:coreProperties>
</file>