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7530" windowHeight="4290" activeTab="0"/>
  </bookViews>
  <sheets>
    <sheet name="Előlap" sheetId="1" r:id="rId1"/>
    <sheet name="Adatok" sheetId="2" r:id="rId2"/>
    <sheet name="kiválasztás Ps-Np-KQ-Dopt" sheetId="3" r:id="rId3"/>
    <sheet name="kiválasztás T-Dmax-KT-Nopt" sheetId="4" r:id="rId4"/>
    <sheet name="optimális csavar jellemzői" sheetId="5" r:id="rId5"/>
    <sheet name="kavitáció és szilárdság" sheetId="6" r:id="rId6"/>
    <sheet name="csavar rajza" sheetId="7" r:id="rId7"/>
  </sheets>
  <definedNames/>
  <calcPr fullCalcOnLoad="1"/>
</workbook>
</file>

<file path=xl/sharedStrings.xml><?xml version="1.0" encoding="utf-8"?>
<sst xmlns="http://schemas.openxmlformats.org/spreadsheetml/2006/main" count="556" uniqueCount="370">
  <si>
    <t>m</t>
  </si>
  <si>
    <t>Hajó fő méretei</t>
  </si>
  <si>
    <t>1/min</t>
  </si>
  <si>
    <r>
      <t>Választható főgép fordulatszámok:   N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=</t>
    </r>
  </si>
  <si>
    <t>Sodortényező (Harvald diagram):</t>
  </si>
  <si>
    <t>B/L =</t>
  </si>
  <si>
    <t>Hajóhossz, L</t>
  </si>
  <si>
    <t>Főbordaszélesség, B</t>
  </si>
  <si>
    <t>Merülés, T</t>
  </si>
  <si>
    <r>
      <t>Hasábos teltség, C</t>
    </r>
    <r>
      <rPr>
        <vertAlign val="subscript"/>
        <sz val="10"/>
        <rFont val="Arial"/>
        <family val="2"/>
      </rPr>
      <t>B</t>
    </r>
  </si>
  <si>
    <r>
      <t>w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</t>
    </r>
  </si>
  <si>
    <t>E/T =</t>
  </si>
  <si>
    <t>D/L =</t>
  </si>
  <si>
    <r>
      <t>Δw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</t>
    </r>
  </si>
  <si>
    <r>
      <t>Δw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</t>
    </r>
  </si>
  <si>
    <r>
      <t>Δw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=</t>
    </r>
  </si>
  <si>
    <r>
      <t>w</t>
    </r>
    <r>
      <rPr>
        <sz val="10"/>
        <rFont val="Arial"/>
        <family val="0"/>
      </rPr>
      <t xml:space="preserve"> =</t>
    </r>
  </si>
  <si>
    <t>Választott sodortényező érték:</t>
  </si>
  <si>
    <t>Szívási tényező (Harvald diagr.):</t>
  </si>
  <si>
    <t>t =</t>
  </si>
  <si>
    <t>N</t>
  </si>
  <si>
    <t>T =</t>
  </si>
  <si>
    <t>Léptékhatás tényező:</t>
  </si>
  <si>
    <t>c =</t>
  </si>
  <si>
    <r>
      <t>K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</t>
    </r>
  </si>
  <si>
    <r>
      <t>kg/m</t>
    </r>
    <r>
      <rPr>
        <vertAlign val="superscript"/>
        <sz val="10"/>
        <rFont val="Arial"/>
        <family val="2"/>
      </rPr>
      <t>3</t>
    </r>
  </si>
  <si>
    <t>0,65w</t>
  </si>
  <si>
    <r>
      <t>T/(ρn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D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)</t>
    </r>
  </si>
  <si>
    <t>Sebesség a csavar helyén:</t>
  </si>
  <si>
    <t>V(1-w)</t>
  </si>
  <si>
    <r>
      <t>V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=</t>
    </r>
  </si>
  <si>
    <t>m/sec</t>
  </si>
  <si>
    <t>Sebesség tényező:</t>
  </si>
  <si>
    <r>
      <t>V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/(nD)</t>
    </r>
  </si>
  <si>
    <t>J =</t>
  </si>
  <si>
    <r>
      <t>N</t>
    </r>
    <r>
      <rPr>
        <vertAlign val="subscript"/>
        <sz val="10"/>
        <rFont val="Arial"/>
        <family val="2"/>
      </rPr>
      <t>p</t>
    </r>
  </si>
  <si>
    <r>
      <t>K</t>
    </r>
    <r>
      <rPr>
        <vertAlign val="subscript"/>
        <sz val="10"/>
        <rFont val="Arial"/>
        <family val="2"/>
      </rPr>
      <t>T</t>
    </r>
  </si>
  <si>
    <t>J</t>
  </si>
  <si>
    <t>édesvíz</t>
  </si>
  <si>
    <t>P/D</t>
  </si>
  <si>
    <r>
      <t>10K</t>
    </r>
    <r>
      <rPr>
        <vertAlign val="subscript"/>
        <sz val="10"/>
        <rFont val="Arial"/>
        <family val="2"/>
      </rPr>
      <t>Q</t>
    </r>
  </si>
  <si>
    <r>
      <t>η</t>
    </r>
    <r>
      <rPr>
        <vertAlign val="subscript"/>
        <sz val="10"/>
        <rFont val="Arial"/>
        <family val="2"/>
      </rPr>
      <t>0</t>
    </r>
  </si>
  <si>
    <t>A wageningeni ajánlás szerint:</t>
  </si>
  <si>
    <r>
      <t>D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=</t>
    </r>
  </si>
  <si>
    <r>
      <t>0,95D</t>
    </r>
    <r>
      <rPr>
        <vertAlign val="subscript"/>
        <sz val="10"/>
        <rFont val="Arial"/>
        <family val="2"/>
      </rPr>
      <t>opt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</si>
  <si>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= </t>
    </r>
  </si>
  <si>
    <t>Tengelyvonal a vízfelszín alatt:</t>
  </si>
  <si>
    <t>h =</t>
  </si>
  <si>
    <t>Pa</t>
  </si>
  <si>
    <t>Kifejtett-felület viszony:</t>
  </si>
  <si>
    <r>
      <t>A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>/A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</t>
    </r>
  </si>
  <si>
    <t>Átmérő:</t>
  </si>
  <si>
    <t xml:space="preserve">D = </t>
  </si>
  <si>
    <t>P =</t>
  </si>
  <si>
    <t>Fordulatszám:</t>
  </si>
  <si>
    <r>
      <t>N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=</t>
    </r>
  </si>
  <si>
    <t>Q =</t>
  </si>
  <si>
    <t>Nm</t>
  </si>
  <si>
    <t>Nyíltvízi nyomaték:</t>
  </si>
  <si>
    <t>Forgási hatásfok:</t>
  </si>
  <si>
    <r>
      <t>η</t>
    </r>
    <r>
      <rPr>
        <vertAlign val="subscript"/>
        <sz val="10"/>
        <rFont val="Arial"/>
        <family val="2"/>
      </rPr>
      <t>R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</si>
  <si>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=</t>
    </r>
  </si>
  <si>
    <t>W, Nm/sec</t>
  </si>
  <si>
    <t>Tengely mechanikai hatásfoka:</t>
  </si>
  <si>
    <r>
      <t>η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 xml:space="preserve"> =</t>
    </r>
  </si>
  <si>
    <t>két golyóscsapágy</t>
  </si>
  <si>
    <r>
      <t>P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</t>
    </r>
  </si>
  <si>
    <r>
      <t>K</t>
    </r>
    <r>
      <rPr>
        <vertAlign val="subscript"/>
        <sz val="10"/>
        <rFont val="Arial"/>
        <family val="2"/>
      </rPr>
      <t>Q</t>
    </r>
    <r>
      <rPr>
        <sz val="10"/>
        <rFont val="Arial"/>
        <family val="0"/>
      </rPr>
      <t xml:space="preserve"> =</t>
    </r>
  </si>
  <si>
    <t>W</t>
  </si>
  <si>
    <t>becslés</t>
  </si>
  <si>
    <t>egycsavaros, 4.3.2.4.2 fej.</t>
  </si>
  <si>
    <t>Csavarra jutó teljesítmény:</t>
  </si>
  <si>
    <r>
      <t>P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η</t>
    </r>
    <r>
      <rPr>
        <vertAlign val="subscript"/>
        <sz val="10"/>
        <rFont val="Arial"/>
        <family val="2"/>
      </rPr>
      <t>m</t>
    </r>
  </si>
  <si>
    <r>
      <t>P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>/(2</t>
    </r>
    <r>
      <rPr>
        <sz val="10"/>
        <rFont val="Arial"/>
        <family val="2"/>
      </rPr>
      <t>π</t>
    </r>
    <r>
      <rPr>
        <sz val="10"/>
        <rFont val="Arial"/>
        <family val="0"/>
      </rPr>
      <t>N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>/60)</t>
    </r>
  </si>
  <si>
    <t>Nyíltvízi nyomaték</t>
  </si>
  <si>
    <t xml:space="preserve">Q' = </t>
  </si>
  <si>
    <r>
      <t>η</t>
    </r>
    <r>
      <rPr>
        <vertAlign val="subscript"/>
        <sz val="10"/>
        <rFont val="Arial"/>
        <family val="2"/>
      </rPr>
      <t>R</t>
    </r>
    <r>
      <rPr>
        <sz val="10"/>
        <rFont val="Arial"/>
        <family val="0"/>
      </rPr>
      <t>Q</t>
    </r>
  </si>
  <si>
    <r>
      <t>n = N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>/(60(1+c))</t>
    </r>
  </si>
  <si>
    <r>
      <t>Q'/(ρn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D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>)</t>
    </r>
  </si>
  <si>
    <t>Max.csavarátmérő, D</t>
  </si>
  <si>
    <t>Csavar mag.alaptól, E</t>
  </si>
  <si>
    <t>Hajózóút víz sűrűsége:</t>
  </si>
  <si>
    <t>ρ =</t>
  </si>
  <si>
    <t>Optimális átmérő:</t>
  </si>
  <si>
    <r>
      <t>D</t>
    </r>
    <r>
      <rPr>
        <vertAlign val="subscript"/>
        <sz val="10"/>
        <rFont val="Arial"/>
        <family val="2"/>
      </rPr>
      <t>opt</t>
    </r>
    <r>
      <rPr>
        <sz val="10"/>
        <rFont val="Arial"/>
        <family val="0"/>
      </rPr>
      <t xml:space="preserve"> =</t>
    </r>
  </si>
  <si>
    <t>R = 0,135375 m</t>
  </si>
  <si>
    <r>
      <t>Megjegyzés: a D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értéke közel van a D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értékéhez, ezért azzal érdemes dolgozni.</t>
    </r>
  </si>
  <si>
    <t>Hajócsavar átmérője:</t>
  </si>
  <si>
    <t>D =</t>
  </si>
  <si>
    <r>
      <t>η</t>
    </r>
    <r>
      <rPr>
        <vertAlign val="subscript"/>
        <sz val="10"/>
        <rFont val="Arial"/>
        <family val="2"/>
      </rPr>
      <t>0 =</t>
    </r>
  </si>
  <si>
    <t>Testhatásfok:</t>
  </si>
  <si>
    <r>
      <t>η</t>
    </r>
    <r>
      <rPr>
        <vertAlign val="subscript"/>
        <sz val="10"/>
        <rFont val="Arial"/>
        <family val="2"/>
      </rPr>
      <t>H =</t>
    </r>
  </si>
  <si>
    <t>(1-t)/(1-w)</t>
  </si>
  <si>
    <t>Propulziós tényező:</t>
  </si>
  <si>
    <r>
      <t>η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=</t>
    </r>
  </si>
  <si>
    <r>
      <t>η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η</t>
    </r>
    <r>
      <rPr>
        <vertAlign val="subscript"/>
        <sz val="10"/>
        <rFont val="Arial"/>
        <family val="2"/>
      </rPr>
      <t>R</t>
    </r>
    <r>
      <rPr>
        <sz val="10"/>
        <rFont val="Arial"/>
        <family val="0"/>
      </rPr>
      <t>η</t>
    </r>
    <r>
      <rPr>
        <vertAlign val="subscript"/>
        <sz val="10"/>
        <rFont val="Arial"/>
        <family val="2"/>
      </rPr>
      <t>H</t>
    </r>
  </si>
  <si>
    <t>Csavar becsült nyíltvízi hatásfoka:</t>
  </si>
  <si>
    <r>
      <t>η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>η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>P</t>
    </r>
    <r>
      <rPr>
        <vertAlign val="subscript"/>
        <sz val="10"/>
        <rFont val="Arial"/>
        <family val="2"/>
      </rPr>
      <t>B</t>
    </r>
  </si>
  <si>
    <t>Főgép effektív teljesítménye:</t>
  </si>
  <si>
    <r>
      <t>P</t>
    </r>
    <r>
      <rPr>
        <vertAlign val="subscript"/>
        <sz val="10"/>
        <rFont val="Arial"/>
        <family val="2"/>
      </rPr>
      <t>BE</t>
    </r>
  </si>
  <si>
    <t>diagramból</t>
  </si>
  <si>
    <t>r/R</t>
  </si>
  <si>
    <r>
      <t>Szárnyszelvény-hosszak c</t>
    </r>
    <r>
      <rPr>
        <vertAlign val="subscript"/>
        <sz val="10"/>
        <rFont val="Arial"/>
        <family val="2"/>
      </rPr>
      <t>0,6</t>
    </r>
    <r>
      <rPr>
        <sz val="10"/>
        <rFont val="Arial"/>
        <family val="0"/>
      </rPr>
      <t xml:space="preserve"> %-ában</t>
    </r>
  </si>
  <si>
    <t>alkotótól</t>
  </si>
  <si>
    <t>kilépőélig</t>
  </si>
  <si>
    <t>belépőélig</t>
  </si>
  <si>
    <t>teljes</t>
  </si>
  <si>
    <t>hossz</t>
  </si>
  <si>
    <r>
      <t>c</t>
    </r>
    <r>
      <rPr>
        <vertAlign val="subscript"/>
        <sz val="10"/>
        <rFont val="Arial"/>
        <family val="2"/>
      </rPr>
      <t>rt</t>
    </r>
  </si>
  <si>
    <r>
      <t>c</t>
    </r>
    <r>
      <rPr>
        <vertAlign val="subscript"/>
        <sz val="10"/>
        <rFont val="Arial"/>
        <family val="2"/>
      </rPr>
      <t>rtotal</t>
    </r>
  </si>
  <si>
    <r>
      <t>c</t>
    </r>
    <r>
      <rPr>
        <vertAlign val="subscript"/>
        <sz val="10"/>
        <rFont val="Arial"/>
        <family val="2"/>
      </rPr>
      <t>rl</t>
    </r>
  </si>
  <si>
    <t>max.vast.</t>
  </si>
  <si>
    <t>helye a</t>
  </si>
  <si>
    <t>belépőéltől</t>
  </si>
  <si>
    <r>
      <t>c</t>
    </r>
    <r>
      <rPr>
        <vertAlign val="subscript"/>
        <sz val="10"/>
        <rFont val="Arial"/>
        <family val="2"/>
      </rPr>
      <t>rtotal</t>
    </r>
    <r>
      <rPr>
        <sz val="10"/>
        <rFont val="Arial"/>
        <family val="2"/>
      </rPr>
      <t>/c</t>
    </r>
    <r>
      <rPr>
        <vertAlign val="subscript"/>
        <sz val="10"/>
        <rFont val="Arial"/>
        <family val="2"/>
      </rPr>
      <t>0,6</t>
    </r>
  </si>
  <si>
    <r>
      <t>c</t>
    </r>
    <r>
      <rPr>
        <vertAlign val="subscript"/>
        <sz val="10"/>
        <rFont val="Arial"/>
        <family val="2"/>
      </rPr>
      <t>rt/c0,6</t>
    </r>
  </si>
  <si>
    <r>
      <t>c</t>
    </r>
    <r>
      <rPr>
        <vertAlign val="subscript"/>
        <sz val="10"/>
        <rFont val="Arial"/>
        <family val="2"/>
      </rPr>
      <t>rl/c0,6</t>
    </r>
  </si>
  <si>
    <r>
      <t>c</t>
    </r>
    <r>
      <rPr>
        <vertAlign val="subscript"/>
        <sz val="10"/>
        <rFont val="Arial"/>
        <family val="2"/>
      </rPr>
      <t>maxt/</t>
    </r>
    <r>
      <rPr>
        <sz val="10"/>
        <rFont val="Arial"/>
        <family val="2"/>
      </rPr>
      <t>c</t>
    </r>
    <r>
      <rPr>
        <vertAlign val="subscript"/>
        <sz val="10"/>
        <rFont val="Arial"/>
        <family val="2"/>
      </rPr>
      <t>rtotal</t>
    </r>
  </si>
  <si>
    <t>Optimális hajócsavar szárny-koordinátái</t>
  </si>
  <si>
    <t>Szárnyszelvény-hosszak mm-ben</t>
  </si>
  <si>
    <t>A szárny alakja a tolóoldal felől</t>
  </si>
  <si>
    <t>z = 3</t>
  </si>
  <si>
    <t>z = 4</t>
  </si>
  <si>
    <t>z = 5</t>
  </si>
  <si>
    <t>Szárnyszelvények maximális vastagsága a sugár mentén az átmérő %-ában</t>
  </si>
  <si>
    <t>A szárny metszete a maximális vastagságok vonalán</t>
  </si>
  <si>
    <r>
      <t>t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>, mm</t>
    </r>
  </si>
  <si>
    <t>A hajócsavar agy és szárny rajza tengelymetszetben</t>
  </si>
  <si>
    <t>A táblázatban szereplő koordináták az adott szelvény hosszára és max. vastagságára értendők</t>
  </si>
  <si>
    <t>A max. vastagság vonalától a kilépőélig</t>
  </si>
  <si>
    <t>A max vastagság vonalától a belépőélig</t>
  </si>
  <si>
    <t>A hátoldal ordinátái</t>
  </si>
  <si>
    <t>A tolóoldal ordinátái</t>
  </si>
  <si>
    <t>helye az</t>
  </si>
  <si>
    <r>
      <t>c</t>
    </r>
    <r>
      <rPr>
        <vertAlign val="subscript"/>
        <sz val="10"/>
        <rFont val="Arial"/>
        <family val="2"/>
      </rPr>
      <t>maxtl</t>
    </r>
  </si>
  <si>
    <r>
      <t>c</t>
    </r>
    <r>
      <rPr>
        <vertAlign val="subscript"/>
        <sz val="10"/>
        <rFont val="Arial"/>
        <family val="2"/>
      </rPr>
      <t>maxtg</t>
    </r>
  </si>
  <si>
    <t>Nyújtott szárnyszelvények</t>
  </si>
  <si>
    <t>0,95R</t>
  </si>
  <si>
    <t>0,9R</t>
  </si>
  <si>
    <t>0,8R</t>
  </si>
  <si>
    <t>0,7R</t>
  </si>
  <si>
    <t>0,6R</t>
  </si>
  <si>
    <t>0,5R</t>
  </si>
  <si>
    <t>0,4R</t>
  </si>
  <si>
    <t>0,3R</t>
  </si>
  <si>
    <t>0,2R</t>
  </si>
  <si>
    <t>Kifejtett felület</t>
  </si>
  <si>
    <t>Sugár</t>
  </si>
  <si>
    <t>Kilépő húr</t>
  </si>
  <si>
    <t>Kilépő szög</t>
  </si>
  <si>
    <t>Belépő húr</t>
  </si>
  <si>
    <t>Belépő szög</t>
  </si>
  <si>
    <t>Vetített felület</t>
  </si>
  <si>
    <t>Emelkedés</t>
  </si>
  <si>
    <t>mm</t>
  </si>
  <si>
    <t>(r/R)R</t>
  </si>
  <si>
    <r>
      <t>P</t>
    </r>
    <r>
      <rPr>
        <vertAlign val="subscript"/>
        <sz val="10"/>
        <rFont val="Arial"/>
        <family val="2"/>
      </rPr>
      <t>r</t>
    </r>
  </si>
  <si>
    <t>°</t>
  </si>
  <si>
    <r>
      <t>ψ</t>
    </r>
    <r>
      <rPr>
        <vertAlign val="subscript"/>
        <sz val="10"/>
        <rFont val="Arial"/>
        <family val="2"/>
      </rPr>
      <t>rt</t>
    </r>
  </si>
  <si>
    <r>
      <t>ψ</t>
    </r>
    <r>
      <rPr>
        <vertAlign val="subscript"/>
        <sz val="10"/>
        <rFont val="Arial"/>
        <family val="2"/>
      </rPr>
      <t>rl</t>
    </r>
  </si>
  <si>
    <t>Kilépőélig</t>
  </si>
  <si>
    <t>Belépőélig</t>
  </si>
  <si>
    <t>Teljes húr</t>
  </si>
  <si>
    <r>
      <t>Kilépőélig, δ</t>
    </r>
    <r>
      <rPr>
        <vertAlign val="subscript"/>
        <sz val="8"/>
        <rFont val="Arial"/>
        <family val="0"/>
      </rPr>
      <t>rt</t>
    </r>
  </si>
  <si>
    <r>
      <t>Belépőélig, δr</t>
    </r>
    <r>
      <rPr>
        <vertAlign val="subscript"/>
        <sz val="7"/>
        <rFont val="Arial"/>
        <family val="0"/>
      </rPr>
      <t>l</t>
    </r>
  </si>
  <si>
    <t>Tolóoldal felől</t>
  </si>
  <si>
    <t>Tengelyre merőlegesen</t>
  </si>
  <si>
    <r>
      <t>arctg(P</t>
    </r>
    <r>
      <rPr>
        <vertAlign val="subscript"/>
        <sz val="5"/>
        <rFont val="Arial"/>
        <family val="0"/>
      </rPr>
      <t>r</t>
    </r>
    <r>
      <rPr>
        <sz val="5"/>
        <rFont val="Arial"/>
        <family val="0"/>
      </rPr>
      <t>/(2rπ))(180/π)</t>
    </r>
  </si>
  <si>
    <r>
      <t>δ</t>
    </r>
    <r>
      <rPr>
        <vertAlign val="subscript"/>
        <sz val="10"/>
        <rFont val="Arial"/>
        <family val="0"/>
      </rPr>
      <t>rt</t>
    </r>
    <r>
      <rPr>
        <sz val="10"/>
        <rFont val="Arial"/>
        <family val="0"/>
      </rPr>
      <t>cosφ</t>
    </r>
  </si>
  <si>
    <t>φ, °</t>
  </si>
  <si>
    <r>
      <t>δ</t>
    </r>
    <r>
      <rPr>
        <vertAlign val="subscript"/>
        <sz val="10"/>
        <rFont val="Arial"/>
        <family val="0"/>
      </rPr>
      <t>rl</t>
    </r>
    <r>
      <rPr>
        <sz val="10"/>
        <rFont val="Arial"/>
        <family val="0"/>
      </rPr>
      <t>cosφ</t>
    </r>
  </si>
  <si>
    <r>
      <t>δ</t>
    </r>
    <r>
      <rPr>
        <vertAlign val="subscript"/>
        <sz val="10"/>
        <rFont val="Arial"/>
        <family val="0"/>
      </rPr>
      <t>rt</t>
    </r>
    <r>
      <rPr>
        <sz val="10"/>
        <rFont val="Arial"/>
        <family val="0"/>
      </rPr>
      <t>sinφ</t>
    </r>
  </si>
  <si>
    <r>
      <t>δ</t>
    </r>
    <r>
      <rPr>
        <vertAlign val="subscript"/>
        <sz val="10"/>
        <rFont val="Arial"/>
        <family val="0"/>
      </rPr>
      <t>rl</t>
    </r>
    <r>
      <rPr>
        <sz val="10"/>
        <rFont val="Arial"/>
        <family val="0"/>
      </rPr>
      <t>sinφ</t>
    </r>
  </si>
  <si>
    <t>A tengelyre merőleges szárnykontúrt korrigálni kell a tolóoldal domborulata miatt:</t>
  </si>
  <si>
    <t>kilépőélnél az alkotó felé a 100%-hoz tartozó tolóoldal ordináta szorozva cosφ,</t>
  </si>
  <si>
    <t>belépőélnél az alkotóval ellentétetes irányban a 100% ordináta szorozva cosφ.</t>
  </si>
  <si>
    <r>
      <t>Ív sugara, R</t>
    </r>
    <r>
      <rPr>
        <vertAlign val="subscript"/>
        <sz val="8"/>
        <rFont val="Arial"/>
        <family val="0"/>
      </rPr>
      <t>e</t>
    </r>
  </si>
  <si>
    <r>
      <t>P</t>
    </r>
    <r>
      <rPr>
        <vertAlign val="subscript"/>
        <sz val="7"/>
        <rFont val="Arial"/>
        <family val="0"/>
      </rPr>
      <t>r</t>
    </r>
    <r>
      <rPr>
        <sz val="7"/>
        <rFont val="Arial"/>
        <family val="0"/>
      </rPr>
      <t>/(2πsinφcosφ)</t>
    </r>
  </si>
  <si>
    <r>
      <t>R</t>
    </r>
    <r>
      <rPr>
        <vertAlign val="subscript"/>
        <sz val="8"/>
        <rFont val="Arial"/>
        <family val="2"/>
      </rPr>
      <t>e</t>
    </r>
    <r>
      <rPr>
        <sz val="8"/>
        <rFont val="Arial"/>
        <family val="2"/>
      </rPr>
      <t>sin(ψ</t>
    </r>
    <r>
      <rPr>
        <vertAlign val="subscript"/>
        <sz val="8"/>
        <rFont val="Arial"/>
        <family val="2"/>
      </rPr>
      <t>rt</t>
    </r>
    <r>
      <rPr>
        <sz val="8"/>
        <rFont val="Arial"/>
        <family val="2"/>
      </rPr>
      <t>)</t>
    </r>
  </si>
  <si>
    <r>
      <t>R</t>
    </r>
    <r>
      <rPr>
        <vertAlign val="subscript"/>
        <sz val="8"/>
        <rFont val="Arial"/>
        <family val="2"/>
      </rPr>
      <t>e</t>
    </r>
    <r>
      <rPr>
        <sz val="8"/>
        <rFont val="Arial"/>
        <family val="2"/>
      </rPr>
      <t>sin(ψ</t>
    </r>
    <r>
      <rPr>
        <vertAlign val="subscript"/>
        <sz val="8"/>
        <rFont val="Arial"/>
        <family val="2"/>
      </rPr>
      <t>rl</t>
    </r>
    <r>
      <rPr>
        <sz val="8"/>
        <rFont val="Arial"/>
        <family val="2"/>
      </rPr>
      <t>)</t>
    </r>
  </si>
  <si>
    <t>ahol</t>
  </si>
  <si>
    <t>Z = a hajócsavar szárnyszáma</t>
  </si>
  <si>
    <t>Romsom formulája wageningeni B csavarok igénybevételére (ld. BBBZ-kódex 4.3.2.4.2 fejezet)</t>
  </si>
  <si>
    <t>t és c = a vizsgált szárnymetszet vastagsága [cm] és húrhossza [m]</t>
  </si>
  <si>
    <r>
      <t>P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= a hajócsavarra jutó tengelyteljesítmény [LE]</t>
    </r>
  </si>
  <si>
    <r>
      <t>α = konstans tényező; α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 0,085 nyomó α</t>
    </r>
    <r>
      <rPr>
        <vertAlign val="subscript"/>
        <sz val="10"/>
        <rFont val="Arial"/>
        <family val="2"/>
      </rPr>
      <t>H</t>
    </r>
    <r>
      <rPr>
        <sz val="10"/>
        <rFont val="Arial"/>
        <family val="0"/>
      </rPr>
      <t xml:space="preserve"> = 0,0975 húzó</t>
    </r>
  </si>
  <si>
    <r>
      <t>P</t>
    </r>
    <r>
      <rPr>
        <vertAlign val="subscript"/>
        <sz val="10"/>
        <rFont val="Arial"/>
        <family val="2"/>
      </rPr>
      <t>0,2</t>
    </r>
    <r>
      <rPr>
        <sz val="10"/>
        <rFont val="Arial"/>
        <family val="0"/>
      </rPr>
      <t>/D = a 0,2R szelvénynél levő emelkedésviszony</t>
    </r>
  </si>
  <si>
    <r>
      <t>C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 66,7P</t>
    </r>
    <r>
      <rPr>
        <vertAlign val="subscript"/>
        <sz val="10"/>
        <rFont val="Arial"/>
        <family val="2"/>
      </rPr>
      <t>0,2</t>
    </r>
    <r>
      <rPr>
        <sz val="10"/>
        <rFont val="Arial"/>
        <family val="0"/>
      </rPr>
      <t>/D</t>
    </r>
  </si>
  <si>
    <r>
      <t>C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= a 4.3.2.4.2.1.1 táblázatból kapott tényező (ld.BBBZ-kódex 4.3.2.4.2 fej.)</t>
    </r>
  </si>
  <si>
    <t>X = a 4.3.2.4.2.1.2 táblázatból kapott tényező (ld. BBBZ-kódex 4.3.2.4.2 fej.)</t>
  </si>
  <si>
    <r>
      <t>P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= </t>
    </r>
  </si>
  <si>
    <t>=</t>
  </si>
  <si>
    <t>LE</t>
  </si>
  <si>
    <t>Z =</t>
  </si>
  <si>
    <t>N =</t>
  </si>
  <si>
    <t>N = a hajócsavar fordulatszáma [1/min]</t>
  </si>
  <si>
    <r>
      <t>δ és η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 a B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>-δ diagramból (ld.BBBZ-kódex 4.3.2.3. fej.4.3.2.3.1.1.1.1 ábra)</t>
    </r>
  </si>
  <si>
    <r>
      <t>δ</t>
    </r>
    <r>
      <rPr>
        <sz val="10"/>
        <rFont val="Arial"/>
        <family val="0"/>
      </rPr>
      <t xml:space="preserve"> =</t>
    </r>
  </si>
  <si>
    <r>
      <t>ND/V</t>
    </r>
    <r>
      <rPr>
        <vertAlign val="subscript"/>
        <sz val="10"/>
        <rFont val="Arial"/>
        <family val="2"/>
      </rPr>
      <t xml:space="preserve">A </t>
    </r>
    <r>
      <rPr>
        <sz val="10"/>
        <rFont val="Arial"/>
        <family val="2"/>
      </rPr>
      <t>=</t>
    </r>
  </si>
  <si>
    <r>
      <t>B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=</t>
    </r>
  </si>
  <si>
    <r>
      <t>NP</t>
    </r>
    <r>
      <rPr>
        <vertAlign val="superscript"/>
        <sz val="9"/>
        <rFont val="Arial"/>
        <family val="0"/>
      </rPr>
      <t>0,5</t>
    </r>
    <r>
      <rPr>
        <sz val="9"/>
        <rFont val="Arial"/>
        <family val="0"/>
      </rPr>
      <t>/V</t>
    </r>
    <r>
      <rPr>
        <vertAlign val="subscript"/>
        <sz val="9"/>
        <rFont val="Arial"/>
        <family val="0"/>
      </rPr>
      <t>A</t>
    </r>
    <r>
      <rPr>
        <vertAlign val="superscript"/>
        <sz val="9"/>
        <rFont val="Arial"/>
        <family val="0"/>
      </rPr>
      <t xml:space="preserve">2,5 </t>
    </r>
    <r>
      <rPr>
        <sz val="9"/>
        <rFont val="Arial"/>
        <family val="0"/>
      </rPr>
      <t>=</t>
    </r>
  </si>
  <si>
    <t>HP</t>
  </si>
  <si>
    <t>cm</t>
  </si>
  <si>
    <t>Szilárdsági ellenőrzés (0,2R szelvényben)</t>
  </si>
  <si>
    <r>
      <t>C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=</t>
    </r>
  </si>
  <si>
    <t>X =</t>
  </si>
  <si>
    <t>(hátrahajlás = 0)</t>
  </si>
  <si>
    <r>
      <t>C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</t>
    </r>
  </si>
  <si>
    <r>
      <t>σ = (P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>/ZN)(1/α)(C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(C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+δη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)/t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c)X [dN/cm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</si>
  <si>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σ</t>
    </r>
    <r>
      <rPr>
        <vertAlign val="subscript"/>
        <sz val="10"/>
        <rFont val="Arial"/>
        <family val="2"/>
      </rPr>
      <t>H</t>
    </r>
    <r>
      <rPr>
        <sz val="10"/>
        <rFont val="Arial"/>
        <family val="0"/>
      </rPr>
      <t xml:space="preserve"> =</t>
    </r>
  </si>
  <si>
    <r>
      <t>dN/cm</t>
    </r>
    <r>
      <rPr>
        <vertAlign val="superscript"/>
        <sz val="10"/>
        <rFont val="Arial"/>
        <family val="2"/>
      </rPr>
      <t>2</t>
    </r>
  </si>
  <si>
    <r>
      <t>σ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</t>
    </r>
  </si>
  <si>
    <t>Romsom formulája B csavarok centrifugális igénybevételére (ld. BBBZ-kódex 4.3.2.4.2 fejezet)</t>
  </si>
  <si>
    <r>
      <t>σ</t>
    </r>
    <r>
      <rPr>
        <vertAlign val="subscript"/>
        <sz val="10"/>
        <rFont val="Arial"/>
        <family val="2"/>
      </rPr>
      <t>HC</t>
    </r>
    <r>
      <rPr>
        <sz val="10"/>
        <rFont val="Arial"/>
        <family val="0"/>
      </rPr>
      <t xml:space="preserve"> = 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D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((A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/α</t>
    </r>
    <r>
      <rPr>
        <vertAlign val="subscript"/>
        <sz val="10"/>
        <rFont val="Arial"/>
        <family val="2"/>
      </rPr>
      <t>H</t>
    </r>
    <r>
      <rPr>
        <sz val="10"/>
        <rFont val="Arial"/>
        <family val="0"/>
      </rPr>
      <t>)+0,58)</t>
    </r>
  </si>
  <si>
    <r>
      <t>σ</t>
    </r>
    <r>
      <rPr>
        <vertAlign val="subscript"/>
        <sz val="10"/>
        <rFont val="Arial"/>
        <family val="2"/>
      </rPr>
      <t>NC</t>
    </r>
    <r>
      <rPr>
        <sz val="10"/>
        <rFont val="Arial"/>
        <family val="0"/>
      </rPr>
      <t xml:space="preserve"> = 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D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((A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/α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>)-0,58)</t>
    </r>
  </si>
  <si>
    <t>n = N/100</t>
  </si>
  <si>
    <t>D = a hajócsavar átmérője [m]</t>
  </si>
  <si>
    <r>
      <t>C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 a 4.3.2.4.2.1.1 táblázatból kapott tényező</t>
    </r>
  </si>
  <si>
    <r>
      <t>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 a 4.3.2.4.2.1.2 táblázatból kapott tényező</t>
    </r>
  </si>
  <si>
    <r>
      <t>C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</t>
    </r>
  </si>
  <si>
    <r>
      <t>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</t>
    </r>
  </si>
  <si>
    <r>
      <t>σ</t>
    </r>
    <r>
      <rPr>
        <vertAlign val="subscript"/>
        <sz val="10"/>
        <rFont val="Arial"/>
        <family val="2"/>
      </rPr>
      <t>HC</t>
    </r>
    <r>
      <rPr>
        <sz val="10"/>
        <rFont val="Arial"/>
        <family val="0"/>
      </rPr>
      <t xml:space="preserve"> =</t>
    </r>
  </si>
  <si>
    <r>
      <t>σ</t>
    </r>
    <r>
      <rPr>
        <vertAlign val="subscript"/>
        <sz val="10"/>
        <rFont val="Arial"/>
        <family val="2"/>
      </rPr>
      <t>NC</t>
    </r>
    <r>
      <rPr>
        <sz val="10"/>
        <rFont val="Arial"/>
        <family val="0"/>
      </rPr>
      <t xml:space="preserve"> =</t>
    </r>
  </si>
  <si>
    <r>
      <t>σ</t>
    </r>
    <r>
      <rPr>
        <vertAlign val="subscript"/>
        <sz val="10"/>
        <rFont val="Arial"/>
        <family val="2"/>
      </rPr>
      <t>Hössz</t>
    </r>
    <r>
      <rPr>
        <sz val="10"/>
        <rFont val="Arial"/>
        <family val="0"/>
      </rPr>
      <t xml:space="preserve"> =</t>
    </r>
  </si>
  <si>
    <r>
      <t>σ</t>
    </r>
    <r>
      <rPr>
        <vertAlign val="subscript"/>
        <sz val="10"/>
        <rFont val="Arial"/>
        <family val="2"/>
      </rPr>
      <t>Nössz</t>
    </r>
    <r>
      <rPr>
        <sz val="10"/>
        <rFont val="Arial"/>
        <family val="0"/>
      </rPr>
      <t xml:space="preserve"> =</t>
    </r>
  </si>
  <si>
    <t>Szilárdsági ellenőrzés (0,6R szelvényben)</t>
  </si>
  <si>
    <t>(D/t = 45,8)</t>
  </si>
  <si>
    <r>
      <t>t</t>
    </r>
    <r>
      <rPr>
        <vertAlign val="subscript"/>
        <sz val="10"/>
        <rFont val="Arial"/>
        <family val="2"/>
      </rPr>
      <t>maxkorr</t>
    </r>
    <r>
      <rPr>
        <sz val="10"/>
        <rFont val="Arial"/>
        <family val="0"/>
      </rPr>
      <t>, mm</t>
    </r>
  </si>
  <si>
    <t>A hajócsavar súlya</t>
  </si>
  <si>
    <t>Egy szárny súlya:</t>
  </si>
  <si>
    <r>
      <t>A</t>
    </r>
    <r>
      <rPr>
        <vertAlign val="subscript"/>
        <sz val="10"/>
        <rFont val="Arial"/>
        <family val="2"/>
      </rPr>
      <t>profil</t>
    </r>
    <r>
      <rPr>
        <sz val="10"/>
        <rFont val="Arial"/>
        <family val="2"/>
      </rPr>
      <t>, cm</t>
    </r>
    <r>
      <rPr>
        <vertAlign val="superscript"/>
        <sz val="10"/>
        <rFont val="Arial"/>
        <family val="2"/>
      </rPr>
      <t>2</t>
    </r>
  </si>
  <si>
    <r>
      <t>G</t>
    </r>
    <r>
      <rPr>
        <vertAlign val="subscript"/>
        <sz val="10"/>
        <rFont val="Arial"/>
        <family val="2"/>
      </rPr>
      <t>sz</t>
    </r>
    <r>
      <rPr>
        <sz val="10"/>
        <rFont val="Arial"/>
        <family val="0"/>
      </rPr>
      <t xml:space="preserve"> =</t>
    </r>
  </si>
  <si>
    <t>Agy súlya:</t>
  </si>
  <si>
    <r>
      <t>G</t>
    </r>
    <r>
      <rPr>
        <vertAlign val="subscript"/>
        <sz val="10"/>
        <rFont val="Arial"/>
        <family val="2"/>
      </rPr>
      <t>agy</t>
    </r>
    <r>
      <rPr>
        <sz val="10"/>
        <rFont val="Arial"/>
        <family val="0"/>
      </rPr>
      <t xml:space="preserve"> =</t>
    </r>
  </si>
  <si>
    <t>Összesen:</t>
  </si>
  <si>
    <r>
      <t>G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=</t>
    </r>
  </si>
  <si>
    <r>
      <t>((r/cosφ)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+((P</t>
    </r>
    <r>
      <rPr>
        <vertAlign val="subscript"/>
        <sz val="10"/>
        <rFont val="Arial"/>
        <family val="2"/>
      </rPr>
      <t>r</t>
    </r>
    <r>
      <rPr>
        <sz val="10"/>
        <rFont val="Arial"/>
        <family val="0"/>
      </rPr>
      <t>/2π)/cosφ)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1/2</t>
    </r>
  </si>
  <si>
    <t>Várható tolóerő:</t>
  </si>
  <si>
    <r>
      <t>C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=</t>
    </r>
  </si>
  <si>
    <r>
      <t>Hajó fő méretei</t>
    </r>
    <r>
      <rPr>
        <sz val="16"/>
        <rFont val="Arial"/>
        <family val="0"/>
      </rPr>
      <t xml:space="preserve">
Teljes hossz ... m
Vízvonalhossz ... m
Szélesség ... m
Merülés ... m
Szabadoldal ... m
Vízkiszorítás ... m</t>
    </r>
    <r>
      <rPr>
        <vertAlign val="superscript"/>
        <sz val="16"/>
        <rFont val="Arial"/>
        <family val="2"/>
      </rPr>
      <t>3</t>
    </r>
    <r>
      <rPr>
        <sz val="16"/>
        <rFont val="Arial"/>
        <family val="0"/>
      </rPr>
      <t xml:space="preserve">
stb.</t>
    </r>
  </si>
  <si>
    <t>vizsgált hajó képe</t>
  </si>
  <si>
    <t>Egy főgép teljesítménye:</t>
  </si>
  <si>
    <t>... motor</t>
  </si>
  <si>
    <t>hajtómű 1.</t>
  </si>
  <si>
    <t>hajtómű 2.</t>
  </si>
  <si>
    <t>hajtómű 3.</t>
  </si>
  <si>
    <t xml:space="preserve"> V =</t>
  </si>
  <si>
    <t>km/h</t>
  </si>
  <si>
    <t>Tolatmány várható sebessége:</t>
  </si>
  <si>
    <t>BBBZ 4.3.2.4.2.3 ábra</t>
  </si>
  <si>
    <t>megj.: pl. nem reális</t>
  </si>
  <si>
    <r>
      <t>0,55C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-0,2</t>
    </r>
  </si>
  <si>
    <t>Sodortény. BBBZ 4.3.2.4.2 fej.(Taylor):</t>
  </si>
  <si>
    <r>
      <t>0,5C</t>
    </r>
    <r>
      <rPr>
        <vertAlign val="subscript"/>
        <sz val="9"/>
        <rFont val="Arial"/>
        <family val="0"/>
      </rPr>
      <t>B</t>
    </r>
    <r>
      <rPr>
        <sz val="9"/>
        <rFont val="Arial"/>
        <family val="0"/>
      </rPr>
      <t>-0,05</t>
    </r>
  </si>
  <si>
    <t>egycsavaros</t>
  </si>
  <si>
    <t>kétcsavaros</t>
  </si>
  <si>
    <t>Választott szívási tényező:</t>
  </si>
  <si>
    <t>Szívási tényező BBBZ 4.3.2.4.2 fej.:</t>
  </si>
  <si>
    <t>w</t>
  </si>
  <si>
    <t>kétcsavarosnál szokásos</t>
  </si>
  <si>
    <t>… csapágy</t>
  </si>
  <si>
    <r>
      <t>Optimális átmérő keresése K.a.4.55 gyűrűs csavarhoz, P</t>
    </r>
    <r>
      <rPr>
        <b/>
        <vertAlign val="sub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= 300000 W, N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= 1000 1/min</t>
    </r>
  </si>
  <si>
    <t>Csavarra jutó nyomaték*:</t>
  </si>
  <si>
    <t>* a megfelelő főgép fordulatszámmal</t>
  </si>
  <si>
    <t>… csavarosnál szokásos</t>
  </si>
  <si>
    <r>
      <t>… /D</t>
    </r>
    <r>
      <rPr>
        <vertAlign val="superscript"/>
        <sz val="10"/>
        <rFont val="Arial"/>
        <family val="2"/>
      </rPr>
      <t>5</t>
    </r>
  </si>
  <si>
    <t>Nyomaték tényező**:</t>
  </si>
  <si>
    <t>** D függvénye</t>
  </si>
  <si>
    <t>… /D</t>
  </si>
  <si>
    <t>Sebesség tényező**:</t>
  </si>
  <si>
    <r>
      <t>K</t>
    </r>
    <r>
      <rPr>
        <vertAlign val="subscript"/>
        <sz val="10"/>
        <rFont val="Arial"/>
        <family val="2"/>
      </rPr>
      <t>Q</t>
    </r>
    <r>
      <rPr>
        <sz val="10"/>
        <rFont val="Arial"/>
        <family val="0"/>
      </rPr>
      <t xml:space="preserve"> és J szerint emelkedésviszony, tolóerő tényezők és hatásfok a K.a.4.55/19.A diagramból:</t>
    </r>
  </si>
  <si>
    <t>D, m</t>
  </si>
  <si>
    <t>Nincs optimális átmérő</t>
  </si>
  <si>
    <r>
      <t>Optimális átmérő keresése, P</t>
    </r>
    <r>
      <rPr>
        <b/>
        <vertAlign val="sub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= 300000 W, N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= 333 1/min</t>
    </r>
  </si>
  <si>
    <r>
      <t>Optimális átmérő keresése, P</t>
    </r>
    <r>
      <rPr>
        <b/>
        <vertAlign val="sub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= 300000 W, N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= 250 1/min</t>
    </r>
  </si>
  <si>
    <r>
      <t>Megjegyzés: a D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értéke nagyobb a D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értékénél, ezért az utóbbival érdemes dolgozni.</t>
    </r>
  </si>
  <si>
    <r>
      <t>Optimális fordulatszám keresése K.a.4.55 gyűrűs csavarhoz, P</t>
    </r>
    <r>
      <rPr>
        <b/>
        <vertAlign val="sub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= 300000 W, D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= 1,4 m</t>
    </r>
  </si>
  <si>
    <r>
      <t>K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ρn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D</t>
    </r>
    <r>
      <rPr>
        <vertAlign val="superscript"/>
        <sz val="10"/>
        <rFont val="Arial"/>
        <family val="2"/>
      </rPr>
      <t>4</t>
    </r>
  </si>
  <si>
    <t>Tolóerő tényező*:</t>
  </si>
  <si>
    <r>
      <t>* N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függvénye</t>
    </r>
  </si>
  <si>
    <r>
      <t>K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és J szerint emelkedésviszony, nyomatéktényező és hatásfok a K.a.4.55/19.A diagramból:</t>
    </r>
  </si>
  <si>
    <r>
      <t>… /Np</t>
    </r>
    <r>
      <rPr>
        <vertAlign val="superscript"/>
        <sz val="10"/>
        <rFont val="Arial"/>
        <family val="2"/>
      </rPr>
      <t>2</t>
    </r>
  </si>
  <si>
    <t>Sebesség tényező*:</t>
  </si>
  <si>
    <r>
      <t>… /N</t>
    </r>
    <r>
      <rPr>
        <vertAlign val="subscript"/>
        <sz val="10"/>
        <rFont val="Arial"/>
        <family val="2"/>
      </rPr>
      <t>p</t>
    </r>
  </si>
  <si>
    <r>
      <t>Optimális fordulatszám D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>-nál:</t>
    </r>
  </si>
  <si>
    <r>
      <t>N</t>
    </r>
    <r>
      <rPr>
        <vertAlign val="subscript"/>
        <sz val="10"/>
        <rFont val="Arial"/>
        <family val="2"/>
      </rPr>
      <t>popt</t>
    </r>
    <r>
      <rPr>
        <sz val="10"/>
        <rFont val="Arial"/>
        <family val="0"/>
      </rPr>
      <t xml:space="preserve"> =</t>
    </r>
  </si>
  <si>
    <t>A hatásfok görbe lapos alakja miatt a fordulatszám kiválasztásának nincs nagy jelentősége.</t>
  </si>
  <si>
    <r>
      <t>D = D</t>
    </r>
    <r>
      <rPr>
        <vertAlign val="subscript"/>
        <sz val="10"/>
        <rFont val="Arial"/>
        <family val="2"/>
      </rPr>
      <t>max</t>
    </r>
  </si>
  <si>
    <t>közvetlen 1</t>
  </si>
  <si>
    <t>közvetlen 2</t>
  </si>
  <si>
    <t>Csavarra jutó nyomaték:</t>
  </si>
  <si>
    <r>
      <t>Q'/ρn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D</t>
    </r>
    <r>
      <rPr>
        <vertAlign val="superscript"/>
        <sz val="10"/>
        <rFont val="Arial"/>
        <family val="2"/>
      </rPr>
      <t>5</t>
    </r>
  </si>
  <si>
    <r>
      <t>K</t>
    </r>
    <r>
      <rPr>
        <vertAlign val="subscript"/>
        <sz val="10"/>
        <rFont val="Arial"/>
        <family val="2"/>
      </rPr>
      <t>Tg</t>
    </r>
    <r>
      <rPr>
        <sz val="10"/>
        <rFont val="Arial"/>
        <family val="0"/>
      </rPr>
      <t xml:space="preserve"> =</t>
    </r>
  </si>
  <si>
    <t>Csavarok száma, z =</t>
  </si>
  <si>
    <t>Gyűrű körülfogás, α =</t>
  </si>
  <si>
    <t>Nyomatéktényező csőben, J, P/D:</t>
  </si>
  <si>
    <r>
      <t>K</t>
    </r>
    <r>
      <rPr>
        <vertAlign val="subscript"/>
        <sz val="10"/>
        <rFont val="Arial"/>
        <family val="2"/>
      </rPr>
      <t>Qg</t>
    </r>
    <r>
      <rPr>
        <sz val="10"/>
        <rFont val="Arial"/>
        <family val="0"/>
      </rPr>
      <t xml:space="preserve"> =</t>
    </r>
  </si>
  <si>
    <r>
      <t>K</t>
    </r>
    <r>
      <rPr>
        <vertAlign val="subscript"/>
        <sz val="10"/>
        <rFont val="Arial"/>
        <family val="2"/>
      </rPr>
      <t>Qc</t>
    </r>
    <r>
      <rPr>
        <sz val="10"/>
        <rFont val="Arial"/>
        <family val="0"/>
      </rPr>
      <t xml:space="preserve"> =</t>
    </r>
  </si>
  <si>
    <r>
      <t>αK</t>
    </r>
    <r>
      <rPr>
        <vertAlign val="subscript"/>
        <sz val="9"/>
        <rFont val="Arial"/>
        <family val="2"/>
      </rPr>
      <t>Qg</t>
    </r>
    <r>
      <rPr>
        <sz val="9"/>
        <rFont val="Arial"/>
        <family val="2"/>
      </rPr>
      <t>+(1-α)K</t>
    </r>
    <r>
      <rPr>
        <vertAlign val="subscript"/>
        <sz val="9"/>
        <rFont val="Arial"/>
        <family val="2"/>
      </rPr>
      <t>Qc</t>
    </r>
  </si>
  <si>
    <t>túl nagy</t>
  </si>
  <si>
    <t>Nyomatéktényező teljes gyűrűben:</t>
  </si>
  <si>
    <r>
      <t>Ehhez emelkedésviszony K</t>
    </r>
    <r>
      <rPr>
        <vertAlign val="subscript"/>
        <sz val="8"/>
        <rFont val="Arial"/>
        <family val="0"/>
      </rPr>
      <t>Q</t>
    </r>
    <r>
      <rPr>
        <sz val="8"/>
        <rFont val="Arial"/>
        <family val="0"/>
      </rPr>
      <t>, J szerint:</t>
    </r>
  </si>
  <si>
    <r>
      <t>(P/D)</t>
    </r>
    <r>
      <rPr>
        <vertAlign val="subscript"/>
        <sz val="10"/>
        <rFont val="Arial"/>
        <family val="2"/>
      </rPr>
      <t>1,0</t>
    </r>
    <r>
      <rPr>
        <sz val="10"/>
        <rFont val="Arial"/>
        <family val="0"/>
      </rPr>
      <t xml:space="preserve"> =</t>
    </r>
  </si>
  <si>
    <t>Korrigált emelkedésviszony:</t>
  </si>
  <si>
    <t>megfelel</t>
  </si>
  <si>
    <r>
      <t>K</t>
    </r>
    <r>
      <rPr>
        <vertAlign val="subscript"/>
        <sz val="10"/>
        <rFont val="Arial"/>
        <family val="2"/>
      </rPr>
      <t>Tc</t>
    </r>
    <r>
      <rPr>
        <sz val="10"/>
        <rFont val="Arial"/>
        <family val="0"/>
      </rPr>
      <t xml:space="preserve"> =</t>
    </r>
  </si>
  <si>
    <r>
      <t>αK</t>
    </r>
    <r>
      <rPr>
        <vertAlign val="subscript"/>
        <sz val="9"/>
        <rFont val="Arial"/>
        <family val="2"/>
      </rPr>
      <t>T</t>
    </r>
    <r>
      <rPr>
        <sz val="9"/>
        <rFont val="Arial"/>
        <family val="2"/>
      </rPr>
      <t>+(1-α)K</t>
    </r>
    <r>
      <rPr>
        <vertAlign val="subscript"/>
        <sz val="9"/>
        <rFont val="Arial"/>
        <family val="2"/>
      </rPr>
      <t>Tc</t>
    </r>
  </si>
  <si>
    <t>gyűrűn</t>
  </si>
  <si>
    <t>csőben</t>
  </si>
  <si>
    <r>
      <t>αK</t>
    </r>
    <r>
      <rPr>
        <vertAlign val="subscript"/>
        <sz val="10"/>
        <rFont val="Arial"/>
        <family val="2"/>
      </rPr>
      <t>Tg</t>
    </r>
  </si>
  <si>
    <r>
      <t>A hajócsavar tolóereje</t>
    </r>
    <r>
      <rPr>
        <sz val="10"/>
        <rFont val="Arial"/>
        <family val="2"/>
      </rPr>
      <t>:</t>
    </r>
  </si>
  <si>
    <r>
      <t>T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=</t>
    </r>
  </si>
  <si>
    <t>A hajócsavar és gyűrű tolóereje:</t>
  </si>
  <si>
    <r>
      <t>T</t>
    </r>
    <r>
      <rPr>
        <sz val="10"/>
        <rFont val="Arial"/>
        <family val="0"/>
      </rPr>
      <t xml:space="preserve"> =</t>
    </r>
  </si>
  <si>
    <t>Nyíltvízi hatásfok:</t>
  </si>
  <si>
    <r>
      <t>η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</t>
    </r>
  </si>
  <si>
    <t>Hajócsavar emelkedése:</t>
  </si>
  <si>
    <t>K.a.4.55 sorozatcsavar</t>
  </si>
  <si>
    <t>Optimálisra kiválasztott 19.A gyűrűben és sima csőben dolgozó K.a.4.55 csavar jellemzői</t>
  </si>
  <si>
    <t>Kavitációs ellenőrzés a kavitációs határgörbe (BBBZ 4.3.2.4.2.3.1 ábra) alapján</t>
  </si>
  <si>
    <t>Kavitációs szám:</t>
  </si>
  <si>
    <r>
      <t>σ</t>
    </r>
    <r>
      <rPr>
        <sz val="10"/>
        <rFont val="Arial"/>
        <family val="0"/>
      </rPr>
      <t xml:space="preserve"> = </t>
    </r>
  </si>
  <si>
    <t>Hidrosztatikus nyomás a tengelyen:</t>
  </si>
  <si>
    <r>
      <t>p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 </t>
    </r>
  </si>
  <si>
    <r>
      <t>p</t>
    </r>
    <r>
      <rPr>
        <vertAlign val="subscript"/>
        <sz val="10"/>
        <rFont val="Arial"/>
        <family val="2"/>
      </rPr>
      <t>atm</t>
    </r>
    <r>
      <rPr>
        <sz val="10"/>
        <rFont val="Arial"/>
        <family val="0"/>
      </rPr>
      <t>+hρg</t>
    </r>
  </si>
  <si>
    <r>
      <t>(p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-p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>-0,4D</t>
    </r>
    <r>
      <rPr>
        <sz val="10"/>
        <rFont val="Arial"/>
        <family val="0"/>
      </rPr>
      <t>ρg)/(n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D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((P/D)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+</t>
    </r>
    <r>
      <rPr>
        <sz val="10"/>
        <rFont val="Arial"/>
        <family val="2"/>
      </rPr>
      <t>π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))</t>
    </r>
  </si>
  <si>
    <t>Teljesítmény tényező:</t>
  </si>
  <si>
    <r>
      <t>(P/D)</t>
    </r>
    <r>
      <rPr>
        <vertAlign val="subscript"/>
        <sz val="10"/>
        <rFont val="Arial"/>
        <family val="2"/>
      </rPr>
      <t>α</t>
    </r>
    <r>
      <rPr>
        <sz val="10"/>
        <rFont val="Arial"/>
        <family val="0"/>
      </rPr>
      <t xml:space="preserve"> =</t>
    </r>
  </si>
  <si>
    <r>
      <t>Nyomatéktény.telj.gyűrűben, (P/D)</t>
    </r>
    <r>
      <rPr>
        <vertAlign val="subscript"/>
        <sz val="8"/>
        <rFont val="Arial"/>
        <family val="2"/>
      </rPr>
      <t>α</t>
    </r>
    <r>
      <rPr>
        <sz val="8"/>
        <rFont val="Arial"/>
        <family val="2"/>
      </rPr>
      <t>, J:</t>
    </r>
  </si>
  <si>
    <r>
      <t>Nyomatéktény.csőben, (P/D)</t>
    </r>
    <r>
      <rPr>
        <vertAlign val="subscript"/>
        <sz val="9"/>
        <rFont val="Arial"/>
        <family val="2"/>
      </rPr>
      <t>α</t>
    </r>
    <r>
      <rPr>
        <sz val="9"/>
        <rFont val="Arial"/>
        <family val="2"/>
      </rPr>
      <t>, J:</t>
    </r>
  </si>
  <si>
    <r>
      <t>Tolóerő tényezők J, (P/D)</t>
    </r>
    <r>
      <rPr>
        <vertAlign val="subscript"/>
        <sz val="9"/>
        <rFont val="Arial"/>
        <family val="2"/>
      </rPr>
      <t>α</t>
    </r>
    <r>
      <rPr>
        <sz val="9"/>
        <rFont val="Arial"/>
        <family val="0"/>
      </rPr>
      <t xml:space="preserve"> szerint:</t>
    </r>
  </si>
  <si>
    <r>
      <t>K</t>
    </r>
    <r>
      <rPr>
        <vertAlign val="subscript"/>
        <sz val="10"/>
        <rFont val="Arial"/>
        <family val="2"/>
      </rPr>
      <t>Tα</t>
    </r>
    <r>
      <rPr>
        <sz val="10"/>
        <rFont val="Arial"/>
        <family val="0"/>
      </rPr>
      <t xml:space="preserve"> =</t>
    </r>
  </si>
  <si>
    <r>
      <t>K</t>
    </r>
    <r>
      <rPr>
        <vertAlign val="subscript"/>
        <sz val="10"/>
        <rFont val="Arial"/>
        <family val="2"/>
      </rPr>
      <t>Tgα</t>
    </r>
    <r>
      <rPr>
        <sz val="10"/>
        <rFont val="Arial"/>
        <family val="0"/>
      </rPr>
      <t xml:space="preserve"> =</t>
    </r>
  </si>
  <si>
    <r>
      <t>(K</t>
    </r>
    <r>
      <rPr>
        <vertAlign val="subscript"/>
        <sz val="10"/>
        <rFont val="Arial"/>
        <family val="2"/>
      </rPr>
      <t>Tα</t>
    </r>
    <r>
      <rPr>
        <sz val="10"/>
        <rFont val="Arial"/>
        <family val="2"/>
      </rPr>
      <t>-K</t>
    </r>
    <r>
      <rPr>
        <vertAlign val="subscript"/>
        <sz val="10"/>
        <rFont val="Arial"/>
        <family val="2"/>
      </rPr>
      <t>Tgα</t>
    </r>
    <r>
      <rPr>
        <sz val="10"/>
        <rFont val="Arial"/>
        <family val="2"/>
      </rPr>
      <t>)ρn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D</t>
    </r>
    <r>
      <rPr>
        <vertAlign val="superscript"/>
        <sz val="10"/>
        <rFont val="Arial"/>
        <family val="2"/>
      </rPr>
      <t>4</t>
    </r>
  </si>
  <si>
    <r>
      <t>K</t>
    </r>
    <r>
      <rPr>
        <vertAlign val="subscript"/>
        <sz val="10"/>
        <rFont val="Arial"/>
        <family val="2"/>
      </rPr>
      <t>Tα</t>
    </r>
    <r>
      <rPr>
        <sz val="10"/>
        <rFont val="Arial"/>
        <family val="2"/>
      </rPr>
      <t>ρn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D</t>
    </r>
    <r>
      <rPr>
        <vertAlign val="superscript"/>
        <sz val="10"/>
        <rFont val="Arial"/>
        <family val="2"/>
      </rPr>
      <t>4</t>
    </r>
  </si>
  <si>
    <r>
      <t>(J/2π)(K</t>
    </r>
    <r>
      <rPr>
        <vertAlign val="subscript"/>
        <sz val="10"/>
        <rFont val="Arial"/>
        <family val="2"/>
      </rPr>
      <t>Tα</t>
    </r>
    <r>
      <rPr>
        <sz val="10"/>
        <rFont val="Arial"/>
        <family val="2"/>
      </rPr>
      <t>/K</t>
    </r>
    <r>
      <rPr>
        <vertAlign val="subscript"/>
        <sz val="10"/>
        <rFont val="Arial"/>
        <family val="2"/>
      </rPr>
      <t>Q</t>
    </r>
    <r>
      <rPr>
        <sz val="10"/>
        <rFont val="Arial"/>
        <family val="2"/>
      </rPr>
      <t>)</t>
    </r>
  </si>
  <si>
    <r>
      <t>(P/D)</t>
    </r>
    <r>
      <rPr>
        <vertAlign val="subscript"/>
        <sz val="10"/>
        <rFont val="Arial"/>
        <family val="2"/>
      </rPr>
      <t>α</t>
    </r>
    <r>
      <rPr>
        <sz val="10"/>
        <rFont val="Arial"/>
        <family val="0"/>
      </rPr>
      <t>D</t>
    </r>
  </si>
  <si>
    <t>Gyűrű körülfogás:</t>
  </si>
  <si>
    <t>α =</t>
  </si>
  <si>
    <r>
      <t>Nyomatéktényező, (P/D)</t>
    </r>
    <r>
      <rPr>
        <vertAlign val="subscript"/>
        <sz val="10"/>
        <rFont val="Arial"/>
        <family val="2"/>
      </rPr>
      <t>1,0</t>
    </r>
    <r>
      <rPr>
        <sz val="10"/>
        <rFont val="Arial"/>
        <family val="2"/>
      </rPr>
      <t>, α:</t>
    </r>
  </si>
  <si>
    <r>
      <t>Nyomatéktényező, J, (P/D)</t>
    </r>
    <r>
      <rPr>
        <vertAlign val="subscript"/>
        <sz val="10"/>
        <rFont val="Arial"/>
        <family val="2"/>
      </rPr>
      <t>α</t>
    </r>
    <r>
      <rPr>
        <sz val="10"/>
        <rFont val="Arial"/>
        <family val="2"/>
      </rPr>
      <t>, α:</t>
    </r>
  </si>
  <si>
    <r>
      <t>Tolóerő tényező, J, (P/D)</t>
    </r>
    <r>
      <rPr>
        <vertAlign val="subscript"/>
        <sz val="10"/>
        <rFont val="Arial"/>
        <family val="2"/>
      </rPr>
      <t>α</t>
    </r>
    <r>
      <rPr>
        <sz val="10"/>
        <rFont val="Arial"/>
        <family val="2"/>
      </rPr>
      <t>, α:</t>
    </r>
  </si>
  <si>
    <t>Gyűrűtoloerőt., J, (P/D)α, α:</t>
  </si>
  <si>
    <r>
      <t>P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>/(n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D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0"/>
      </rPr>
      <t>(A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>/A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)((P/D)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+π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))</t>
    </r>
  </si>
  <si>
    <t>Felületviszony a határgörbéhez:</t>
  </si>
  <si>
    <r>
      <t>A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>/A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</t>
    </r>
  </si>
  <si>
    <r>
      <t>245P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>/(nD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(p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-p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>-0,4Dρg))</t>
    </r>
  </si>
  <si>
    <t>Telített vízgőz nyomása 20C°-nál:</t>
  </si>
  <si>
    <t>A 0,55 szárnyfelületű hajócsavar nagy biztonsággal kavitációmentes.</t>
  </si>
  <si>
    <t>A hajócsavar kavitációmentes normál üzeméhez ilyen felületviszony szükséges.</t>
  </si>
  <si>
    <r>
      <t>A K.a típusú csavar nagyobb igénybevétele miatt a megengedett feszültséget σ</t>
    </r>
    <r>
      <rPr>
        <vertAlign val="subscript"/>
        <sz val="9"/>
        <rFont val="Arial"/>
        <family val="0"/>
      </rPr>
      <t>m</t>
    </r>
    <r>
      <rPr>
        <sz val="9"/>
        <rFont val="Arial"/>
        <family val="0"/>
      </rPr>
      <t xml:space="preserve"> = 0,15σ</t>
    </r>
    <r>
      <rPr>
        <vertAlign val="subscript"/>
        <sz val="9"/>
        <rFont val="Arial"/>
        <family val="0"/>
      </rPr>
      <t>B</t>
    </r>
    <r>
      <rPr>
        <sz val="9"/>
        <rFont val="Arial"/>
        <family val="0"/>
      </rPr>
      <t xml:space="preserve"> helyett σ</t>
    </r>
    <r>
      <rPr>
        <vertAlign val="subscript"/>
        <sz val="9"/>
        <rFont val="Arial"/>
        <family val="0"/>
      </rPr>
      <t>m</t>
    </r>
    <r>
      <rPr>
        <sz val="9"/>
        <rFont val="Arial"/>
        <family val="0"/>
      </rPr>
      <t xml:space="preserve"> = 0,1σ</t>
    </r>
    <r>
      <rPr>
        <vertAlign val="subscript"/>
        <sz val="9"/>
        <rFont val="Arial"/>
        <family val="0"/>
      </rPr>
      <t>B</t>
    </r>
    <r>
      <rPr>
        <sz val="9"/>
        <rFont val="Arial"/>
        <family val="0"/>
      </rPr>
      <t xml:space="preserve"> értékűre kell választani.</t>
    </r>
  </si>
  <si>
    <t xml:space="preserve">opt. K.a.4.55 csavarhoz </t>
  </si>
  <si>
    <r>
      <t>A δ és B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értékei a diagramon kívül esnek. </t>
    </r>
  </si>
  <si>
    <t>A K.a.4.55 hajócsavar szárnyszelvényeinek alapadai</t>
  </si>
  <si>
    <r>
      <t>l</t>
    </r>
    <r>
      <rPr>
        <vertAlign val="subscript"/>
        <sz val="10"/>
        <rFont val="Arial"/>
        <family val="2"/>
      </rPr>
      <t>0,6</t>
    </r>
    <r>
      <rPr>
        <sz val="10"/>
        <rFont val="Arial"/>
        <family val="0"/>
      </rPr>
      <t xml:space="preserve"> =</t>
    </r>
  </si>
  <si>
    <t>0,2707D</t>
  </si>
  <si>
    <t>Szárnyszelvény-hossz 0,6R-nél</t>
  </si>
  <si>
    <r>
      <t>c</t>
    </r>
    <r>
      <rPr>
        <vertAlign val="subscript"/>
        <sz val="10"/>
        <rFont val="Arial"/>
        <family val="2"/>
      </rPr>
      <t>0,6total</t>
    </r>
    <r>
      <rPr>
        <sz val="10"/>
        <rFont val="Arial"/>
        <family val="0"/>
      </rPr>
      <t xml:space="preserve"> =</t>
    </r>
  </si>
  <si>
    <t>kif.felület viszonynál:</t>
  </si>
  <si>
    <t xml:space="preserve">Optimális </t>
  </si>
  <si>
    <t>m átmérőjű hajócsavar szárnymetszete</t>
  </si>
  <si>
    <r>
      <t>(P</t>
    </r>
    <r>
      <rPr>
        <vertAlign val="subscript"/>
        <sz val="10"/>
        <rFont val="Arial"/>
        <family val="2"/>
      </rPr>
      <t>0,2</t>
    </r>
    <r>
      <rPr>
        <sz val="10"/>
        <rFont val="Arial"/>
        <family val="0"/>
      </rPr>
      <t>/D = 0,617)</t>
    </r>
  </si>
  <si>
    <t>(D/t = 27,34)</t>
  </si>
  <si>
    <r>
      <t xml:space="preserve">A hajócsavar anyaga acélöntvény GE520, </t>
    </r>
    <r>
      <rPr>
        <sz val="10"/>
        <rFont val="Arial"/>
        <family val="2"/>
      </rPr>
      <t>σ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 5200 dN/cm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</t>
    </r>
  </si>
  <si>
    <r>
      <t xml:space="preserve">Megengedhető feszültség </t>
    </r>
    <r>
      <rPr>
        <sz val="10"/>
        <rFont val="Arial"/>
        <family val="2"/>
      </rPr>
      <t>σ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 xml:space="preserve"> = 0,1σ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 520 dN/cm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</t>
    </r>
  </si>
  <si>
    <t>A szárnytőben ébredő feszültség nem nagyobb a megengedettnél, a korrigált vastagság megfelel.</t>
  </si>
  <si>
    <t>A szelvényben ébredő feszültség nem nagyobb a megengedettnél, a korrigált vastagság megfelel.</t>
  </si>
  <si>
    <t>A módosított K.a.4.55 hajócsavarok szárnyszelvényeinek megrajzolására szolgáló koordináták</t>
  </si>
  <si>
    <t>m átmérőjű hajócsavar szárnyszelvényeinek koordinátái mm-ben</t>
  </si>
  <si>
    <t>... hajóhoz Kort-gyűrűs sorozat hajócsavar számítása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</si>
</sst>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000"/>
    <numFmt numFmtId="166" formatCode="[$-40E]yyyy\.\ mmmm\ d\."/>
    <numFmt numFmtId="167" formatCode="&quot;H-&quot;0000"/>
    <numFmt numFmtId="168" formatCode="0.000000"/>
    <numFmt numFmtId="169" formatCode="0.00000000"/>
    <numFmt numFmtId="170" formatCode="0.0"/>
    <numFmt numFmtId="171" formatCode="0.00000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sz val="9"/>
      <name val="Arial"/>
      <family val="0"/>
    </font>
    <font>
      <sz val="24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vertAlign val="superscript"/>
      <sz val="16"/>
      <name val="Arial"/>
      <family val="2"/>
    </font>
    <font>
      <vertAlign val="subscript"/>
      <sz val="9"/>
      <name val="Arial"/>
      <family val="2"/>
    </font>
    <font>
      <i/>
      <sz val="10"/>
      <name val="Arial"/>
      <family val="2"/>
    </font>
    <font>
      <sz val="4.75"/>
      <name val="Arial"/>
      <family val="2"/>
    </font>
    <font>
      <sz val="7.5"/>
      <name val="Arial"/>
      <family val="2"/>
    </font>
    <font>
      <sz val="7.25"/>
      <name val="Arial"/>
      <family val="2"/>
    </font>
    <font>
      <sz val="7"/>
      <name val="Arial"/>
      <family val="2"/>
    </font>
    <font>
      <sz val="6.75"/>
      <name val="Arial"/>
      <family val="2"/>
    </font>
    <font>
      <vertAlign val="subscript"/>
      <sz val="8"/>
      <name val="Arial"/>
      <family val="2"/>
    </font>
    <font>
      <vertAlign val="subscript"/>
      <sz val="7"/>
      <name val="Arial"/>
      <family val="0"/>
    </font>
    <font>
      <sz val="5"/>
      <name val="Arial"/>
      <family val="0"/>
    </font>
    <font>
      <vertAlign val="subscript"/>
      <sz val="5"/>
      <name val="Arial"/>
      <family val="0"/>
    </font>
    <font>
      <vertAlign val="superscript"/>
      <sz val="9"/>
      <name val="Arial"/>
      <family val="0"/>
    </font>
    <font>
      <sz val="5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left" vertical="top" wrapText="1"/>
    </xf>
    <xf numFmtId="169" fontId="0" fillId="0" borderId="0" xfId="0" applyNumberFormat="1" applyAlignment="1">
      <alignment/>
    </xf>
    <xf numFmtId="0" fontId="12" fillId="0" borderId="0" xfId="0" applyFont="1" applyAlignment="1">
      <alignment/>
    </xf>
    <xf numFmtId="164" fontId="0" fillId="0" borderId="0" xfId="0" applyNumberFormat="1" applyAlignment="1">
      <alignment/>
    </xf>
    <xf numFmtId="170" fontId="0" fillId="0" borderId="0" xfId="0" applyNumberFormat="1" applyAlignment="1">
      <alignment/>
    </xf>
    <xf numFmtId="170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Continuous"/>
    </xf>
    <xf numFmtId="9" fontId="0" fillId="0" borderId="0" xfId="0" applyNumberFormat="1" applyAlignment="1">
      <alignment horizontal="center"/>
    </xf>
    <xf numFmtId="17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6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16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left" vertical="top" wrapText="1"/>
    </xf>
    <xf numFmtId="164" fontId="0" fillId="0" borderId="0" xfId="0" applyNumberFormat="1" applyAlignment="1">
      <alignment horizontal="center"/>
    </xf>
    <xf numFmtId="170" fontId="0" fillId="0" borderId="0" xfId="0" applyNumberFormat="1" applyFont="1" applyAlignment="1" quotePrefix="1">
      <alignment/>
    </xf>
    <xf numFmtId="165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 quotePrefix="1">
      <alignment/>
    </xf>
    <xf numFmtId="170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Continuous"/>
    </xf>
    <xf numFmtId="2" fontId="0" fillId="0" borderId="0" xfId="0" applyNumberFormat="1" applyAlignment="1" quotePrefix="1">
      <alignment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vertical="distributed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'kiválasztás Ps-Np-KQ-Dopt'!$A$13</c:f>
              <c:strCache>
                <c:ptCount val="1"/>
                <c:pt idx="0">
                  <c:v>10KQ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'kiválasztás Ps-Np-KQ-Dopt'!$B$12:$G$12</c:f>
              <c:numCache/>
            </c:numRef>
          </c:cat>
          <c:val>
            <c:numRef>
              <c:f>'kiválasztás Ps-Np-KQ-Dopt'!$B$13:$G$13</c:f>
              <c:numCache/>
            </c:numRef>
          </c:val>
          <c:smooth val="0"/>
        </c:ser>
        <c:ser>
          <c:idx val="1"/>
          <c:order val="1"/>
          <c:tx>
            <c:strRef>
              <c:f>'kiválasztás Ps-Np-KQ-Dopt'!$A$16</c:f>
              <c:strCache>
                <c:ptCount val="1"/>
                <c:pt idx="0">
                  <c:v>KT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val>
            <c:numRef>
              <c:f>'kiválasztás Ps-Np-KQ-Dopt'!$B$16:$G$16</c:f>
              <c:numCache/>
            </c:numRef>
          </c:val>
          <c:smooth val="0"/>
        </c:ser>
        <c:ser>
          <c:idx val="2"/>
          <c:order val="2"/>
          <c:tx>
            <c:strRef>
              <c:f>'kiválasztás Ps-Np-KQ-Dopt'!$A$15</c:f>
              <c:strCache>
                <c:ptCount val="1"/>
                <c:pt idx="0">
                  <c:v>P/D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val>
            <c:numRef>
              <c:f>'kiválasztás Ps-Np-KQ-Dopt'!$B$15:$G$15</c:f>
              <c:numCache/>
            </c:numRef>
          </c:val>
          <c:smooth val="0"/>
        </c:ser>
        <c:ser>
          <c:idx val="3"/>
          <c:order val="3"/>
          <c:tx>
            <c:strRef>
              <c:f>'kiválasztás Ps-Np-KQ-Dopt'!$A$17</c:f>
              <c:strCache>
                <c:ptCount val="1"/>
                <c:pt idx="0">
                  <c:v>η0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val>
            <c:numRef>
              <c:f>'kiválasztás Ps-Np-KQ-Dopt'!$B$17:$G$17</c:f>
              <c:numCache/>
            </c:numRef>
          </c:val>
          <c:smooth val="0"/>
        </c:ser>
        <c:axId val="19013245"/>
        <c:axId val="36901478"/>
      </c:lineChart>
      <c:catAx>
        <c:axId val="19013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901478"/>
        <c:crosses val="autoZero"/>
        <c:auto val="1"/>
        <c:lblOffset val="100"/>
        <c:noMultiLvlLbl val="0"/>
      </c:catAx>
      <c:valAx>
        <c:axId val="369014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132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hátoldal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'csavar rajza'!$C$100:$K$100</c:f>
              <c:numCache/>
            </c:numRef>
          </c:cat>
          <c:val>
            <c:numRef>
              <c:f>'csavar rajza'!$C$101:$K$101</c:f>
              <c:numCache/>
            </c:numRef>
          </c:val>
          <c:smooth val="0"/>
        </c:ser>
        <c:ser>
          <c:idx val="1"/>
          <c:order val="1"/>
          <c:tx>
            <c:v>tolóoldal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'csavar rajza'!$C$100:$K$100</c:f>
              <c:numCache/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28232423"/>
        <c:axId val="52765216"/>
      </c:lineChart>
      <c:catAx>
        <c:axId val="28232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765216"/>
        <c:crosses val="autoZero"/>
        <c:auto val="1"/>
        <c:lblOffset val="100"/>
        <c:noMultiLvlLbl val="0"/>
      </c:catAx>
      <c:valAx>
        <c:axId val="527652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232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hátoldal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'csavar rajza'!$C$102:$K$102</c:f>
              <c:numCache/>
            </c:numRef>
          </c:cat>
          <c:val>
            <c:numRef>
              <c:f>'csavar rajza'!$C$103:$K$103</c:f>
              <c:numCache/>
            </c:numRef>
          </c:val>
          <c:smooth val="0"/>
        </c:ser>
        <c:ser>
          <c:idx val="1"/>
          <c:order val="1"/>
          <c:tx>
            <c:v>tolóoldal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'csavar rajza'!$C$102:$K$102</c:f>
              <c:numCache/>
            </c:numRef>
          </c:cat>
          <c:val>
            <c:numRef>
              <c:f>'csavar rajza'!#REF!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124897"/>
        <c:axId val="46124074"/>
      </c:lineChart>
      <c:catAx>
        <c:axId val="5124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124074"/>
        <c:crosses val="autoZero"/>
        <c:auto val="1"/>
        <c:lblOffset val="100"/>
        <c:noMultiLvlLbl val="0"/>
      </c:catAx>
      <c:valAx>
        <c:axId val="46124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248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hátoldal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'csavar rajza'!$C$104:$K$104</c:f>
              <c:numCache/>
            </c:numRef>
          </c:cat>
          <c:val>
            <c:numRef>
              <c:f>'csavar rajza'!$C$105:$K$105</c:f>
              <c:numCache/>
            </c:numRef>
          </c:val>
          <c:smooth val="0"/>
        </c:ser>
        <c:ser>
          <c:idx val="1"/>
          <c:order val="1"/>
          <c:tx>
            <c:v>tolóoldal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'csavar rajza'!$C$104:$K$104</c:f>
              <c:numCache/>
            </c:numRef>
          </c:cat>
          <c:val>
            <c:numRef>
              <c:f>'csavar rajza'!$C$113:$K$113</c:f>
              <c:numCache/>
            </c:numRef>
          </c:val>
          <c:smooth val="0"/>
        </c:ser>
        <c:axId val="12463483"/>
        <c:axId val="45062484"/>
      </c:lineChart>
      <c:catAx>
        <c:axId val="12463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062484"/>
        <c:crosses val="autoZero"/>
        <c:auto val="1"/>
        <c:lblOffset val="100"/>
        <c:noMultiLvlLbl val="0"/>
      </c:catAx>
      <c:valAx>
        <c:axId val="45062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4634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hátoldal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'csavar rajza'!$C$106:$K$106</c:f>
              <c:numCache/>
            </c:numRef>
          </c:cat>
          <c:val>
            <c:numRef>
              <c:f>'csavar rajza'!$C$107:$K$107</c:f>
              <c:numCache/>
            </c:numRef>
          </c:val>
          <c:smooth val="0"/>
        </c:ser>
        <c:ser>
          <c:idx val="1"/>
          <c:order val="1"/>
          <c:tx>
            <c:v>tolóoldal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'csavar rajza'!$C$106:$K$106</c:f>
              <c:numCache/>
            </c:numRef>
          </c:cat>
          <c:val>
            <c:numRef>
              <c:f>'csavar rajza'!$C$114:$K$114</c:f>
              <c:numCache/>
            </c:numRef>
          </c:val>
          <c:smooth val="0"/>
        </c:ser>
        <c:axId val="2909173"/>
        <c:axId val="26182558"/>
      </c:lineChart>
      <c:catAx>
        <c:axId val="2909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82558"/>
        <c:crosses val="autoZero"/>
        <c:auto val="1"/>
        <c:lblOffset val="100"/>
        <c:noMultiLvlLbl val="0"/>
      </c:catAx>
      <c:valAx>
        <c:axId val="26182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091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hátoldal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'csavar rajza'!$C$108:$K$108</c:f>
              <c:numCache/>
            </c:numRef>
          </c:cat>
          <c:val>
            <c:numRef>
              <c:f>'csavar rajza'!$C$109:$K$109</c:f>
              <c:numCache/>
            </c:numRef>
          </c:val>
          <c:smooth val="0"/>
        </c:ser>
        <c:ser>
          <c:idx val="1"/>
          <c:order val="1"/>
          <c:tx>
            <c:v>tolóoldal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'csavar rajza'!$C$108:$K$108</c:f>
              <c:numCache/>
            </c:numRef>
          </c:cat>
          <c:val>
            <c:numRef>
              <c:f>'csavar rajza'!$C$115:$K$115</c:f>
              <c:numCache/>
            </c:numRef>
          </c:val>
          <c:smooth val="0"/>
        </c:ser>
        <c:axId val="34316431"/>
        <c:axId val="40412424"/>
      </c:lineChart>
      <c:catAx>
        <c:axId val="34316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12424"/>
        <c:crosses val="autoZero"/>
        <c:auto val="1"/>
        <c:lblOffset val="100"/>
        <c:noMultiLvlLbl val="0"/>
      </c:catAx>
      <c:valAx>
        <c:axId val="40412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3164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hátoldal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'csavar rajza'!$C$110:$K$110</c:f>
              <c:numCache/>
            </c:numRef>
          </c:cat>
          <c:val>
            <c:numRef>
              <c:f>'csavar rajza'!$C$111:$K$111</c:f>
              <c:numCache/>
            </c:numRef>
          </c:val>
          <c:smooth val="0"/>
        </c:ser>
        <c:ser>
          <c:idx val="1"/>
          <c:order val="1"/>
          <c:tx>
            <c:v>tolóoldal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'csavar rajza'!$C$110:$K$110</c:f>
              <c:numCache/>
            </c:numRef>
          </c:cat>
          <c:val>
            <c:numRef>
              <c:f>'csavar rajza'!$C$116:$K$116</c:f>
              <c:numCache/>
            </c:numRef>
          </c:val>
          <c:smooth val="0"/>
        </c:ser>
        <c:axId val="28167497"/>
        <c:axId val="52180882"/>
      </c:lineChart>
      <c:catAx>
        <c:axId val="28167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80882"/>
        <c:crosses val="autoZero"/>
        <c:auto val="1"/>
        <c:lblOffset val="100"/>
        <c:noMultiLvlLbl val="0"/>
      </c:catAx>
      <c:valAx>
        <c:axId val="52180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1674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vet.be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'csavar rajza'!$A$193:$A$201</c:f>
              <c:numCache/>
            </c:numRef>
          </c:cat>
          <c:val>
            <c:numRef>
              <c:f>'csavar rajza'!$G$193:$G$201</c:f>
              <c:numCache/>
            </c:numRef>
          </c:val>
          <c:smooth val="0"/>
        </c:ser>
        <c:ser>
          <c:idx val="1"/>
          <c:order val="1"/>
          <c:tx>
            <c:v>vet.ki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'csavar rajza'!$A$193:$A$201</c:f>
              <c:numCache/>
            </c:numRef>
          </c:cat>
          <c:val>
            <c:numRef>
              <c:f>'csavar rajza'!$F$193:$F$201</c:f>
              <c:numCache/>
            </c:numRef>
          </c:val>
          <c:smooth val="0"/>
        </c:ser>
        <c:ser>
          <c:idx val="2"/>
          <c:order val="2"/>
          <c:tx>
            <c:v>oldal be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'csavar rajza'!$A$193:$A$201</c:f>
              <c:numCache/>
            </c:numRef>
          </c:cat>
          <c:val>
            <c:numRef>
              <c:f>'csavar rajza'!$I$193:$I$201</c:f>
              <c:numCache/>
            </c:numRef>
          </c:val>
          <c:smooth val="0"/>
        </c:ser>
        <c:ser>
          <c:idx val="3"/>
          <c:order val="3"/>
          <c:tx>
            <c:v>oldal ki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'csavar rajza'!$A$193:$A$201</c:f>
              <c:numCache/>
            </c:numRef>
          </c:cat>
          <c:val>
            <c:numRef>
              <c:f>'csavar rajza'!$H$193:$H$201</c:f>
              <c:numCache/>
            </c:numRef>
          </c:val>
          <c:smooth val="0"/>
        </c:ser>
        <c:axId val="66974755"/>
        <c:axId val="65901884"/>
      </c:lineChart>
      <c:catAx>
        <c:axId val="66974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901884"/>
        <c:crosses val="autoZero"/>
        <c:auto val="1"/>
        <c:lblOffset val="100"/>
        <c:noMultiLvlLbl val="0"/>
      </c:catAx>
      <c:valAx>
        <c:axId val="65901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kilépőél  mm  belépőél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9747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'kiválasztás Ps-Np-KQ-Dopt'!$A$40</c:f>
              <c:strCache>
                <c:ptCount val="1"/>
                <c:pt idx="0">
                  <c:v>10KQ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'kiválasztás Ps-Np-KQ-Dopt'!$B$39:$H$39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'kiválasztás Ps-Np-KQ-Dopt'!$B$40:$H$40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'kiválasztás Ps-Np-KQ-Dopt'!$A$43</c:f>
              <c:strCache>
                <c:ptCount val="1"/>
                <c:pt idx="0">
                  <c:v>KT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'kiválasztás Ps-Np-KQ-Dopt'!$B$39:$H$39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'kiválasztás Ps-Np-KQ-Dopt'!$B$43:$H$43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'kiválasztás Ps-Np-KQ-Dopt'!$A$42</c:f>
              <c:strCache>
                <c:ptCount val="1"/>
                <c:pt idx="0">
                  <c:v>P/D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'kiválasztás Ps-Np-KQ-Dopt'!$B$39:$H$39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'kiválasztás Ps-Np-KQ-Dopt'!$B$42:$H$42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'kiválasztás Ps-Np-KQ-Dopt'!$A$44</c:f>
              <c:strCache>
                <c:ptCount val="1"/>
                <c:pt idx="0">
                  <c:v>η0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'kiválasztás Ps-Np-KQ-Dopt'!$B$39:$H$39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'kiválasztás Ps-Np-KQ-Dopt'!$B$44:$H$44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63677847"/>
        <c:axId val="36229712"/>
      </c:lineChart>
      <c:catAx>
        <c:axId val="63677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229712"/>
        <c:crosses val="autoZero"/>
        <c:auto val="1"/>
        <c:lblOffset val="100"/>
        <c:noMultiLvlLbl val="0"/>
      </c:catAx>
      <c:valAx>
        <c:axId val="362297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6778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'kiválasztás Ps-Np-KQ-Dopt'!$A$67</c:f>
              <c:strCache>
                <c:ptCount val="1"/>
                <c:pt idx="0">
                  <c:v>10KQ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'kiválasztás Ps-Np-KQ-Dopt'!$B$66:$H$66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'kiválasztás Ps-Np-KQ-Dopt'!$B$67:$H$67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'kiválasztás Ps-Np-KQ-Dopt'!$A$70</c:f>
              <c:strCache>
                <c:ptCount val="1"/>
                <c:pt idx="0">
                  <c:v>KT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'kiválasztás Ps-Np-KQ-Dopt'!$B$66:$H$66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'kiválasztás Ps-Np-KQ-Dopt'!$B$70:$H$70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'kiválasztás Ps-Np-KQ-Dopt'!$A$69</c:f>
              <c:strCache>
                <c:ptCount val="1"/>
                <c:pt idx="0">
                  <c:v>P/D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'kiválasztás Ps-Np-KQ-Dopt'!$B$66:$H$66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'kiválasztás Ps-Np-KQ-Dopt'!$B$69:$H$69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'kiválasztás Ps-Np-KQ-Dopt'!$A$71</c:f>
              <c:strCache>
                <c:ptCount val="1"/>
                <c:pt idx="0">
                  <c:v>η0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'kiválasztás Ps-Np-KQ-Dopt'!$B$66:$H$66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'kiválasztás Ps-Np-KQ-Dopt'!$B$71:$H$71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57631953"/>
        <c:axId val="48925530"/>
      </c:lineChart>
      <c:catAx>
        <c:axId val="57631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25530"/>
        <c:crosses val="autoZero"/>
        <c:auto val="1"/>
        <c:lblOffset val="100"/>
        <c:noMultiLvlLbl val="0"/>
      </c:catAx>
      <c:valAx>
        <c:axId val="489255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6319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'kiválasztás T-Dmax-KT-Nopt'!$A$12</c:f>
              <c:strCache>
                <c:ptCount val="1"/>
                <c:pt idx="0">
                  <c:v>10KQ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'kiválasztás T-Dmax-KT-Nopt'!$B$8:$I$8</c:f>
              <c:numCache/>
            </c:numRef>
          </c:cat>
          <c:val>
            <c:numRef>
              <c:f>'kiválasztás T-Dmax-KT-Nopt'!$B$12:$I$12</c:f>
              <c:numCache/>
            </c:numRef>
          </c:val>
          <c:smooth val="0"/>
        </c:ser>
        <c:ser>
          <c:idx val="1"/>
          <c:order val="1"/>
          <c:tx>
            <c:strRef>
              <c:f>'kiválasztás T-Dmax-KT-Nopt'!$A$9</c:f>
              <c:strCache>
                <c:ptCount val="1"/>
                <c:pt idx="0">
                  <c:v>KT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val>
            <c:numRef>
              <c:f>'kiválasztás T-Dmax-KT-Nopt'!$B$9:$I$9</c:f>
              <c:numCache/>
            </c:numRef>
          </c:val>
          <c:smooth val="0"/>
        </c:ser>
        <c:ser>
          <c:idx val="2"/>
          <c:order val="2"/>
          <c:tx>
            <c:strRef>
              <c:f>'kiválasztás T-Dmax-KT-Nopt'!$A$11</c:f>
              <c:strCache>
                <c:ptCount val="1"/>
                <c:pt idx="0">
                  <c:v>P/D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val>
            <c:numRef>
              <c:f>'kiválasztás T-Dmax-KT-Nopt'!$B$11:$I$11</c:f>
              <c:numCache/>
            </c:numRef>
          </c:val>
          <c:smooth val="0"/>
        </c:ser>
        <c:ser>
          <c:idx val="3"/>
          <c:order val="3"/>
          <c:tx>
            <c:strRef>
              <c:f>'kiválasztás T-Dmax-KT-Nopt'!$A$13</c:f>
              <c:strCache>
                <c:ptCount val="1"/>
                <c:pt idx="0">
                  <c:v>η0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val>
            <c:numRef>
              <c:f>'kiválasztás T-Dmax-KT-Nopt'!$B$13:$I$13</c:f>
              <c:numCache/>
            </c:numRef>
          </c:val>
          <c:smooth val="0"/>
        </c:ser>
        <c:axId val="37676587"/>
        <c:axId val="3544964"/>
      </c:lineChart>
      <c:catAx>
        <c:axId val="37676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Np 1/min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44964"/>
        <c:crosses val="autoZero"/>
        <c:auto val="1"/>
        <c:lblOffset val="100"/>
        <c:noMultiLvlLbl val="0"/>
      </c:catAx>
      <c:valAx>
        <c:axId val="35449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765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'csavar rajza'!$G$11</c:f>
              <c:strCache>
                <c:ptCount val="1"/>
                <c:pt idx="0">
                  <c:v>crt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'csavar rajza'!$A$12:$A$28</c:f>
              <c:numCache/>
            </c:numRef>
          </c:cat>
          <c:val>
            <c:numRef>
              <c:f>'csavar rajza'!$G$12:$G$28</c:f>
              <c:numCache/>
            </c:numRef>
          </c:val>
          <c:smooth val="0"/>
        </c:ser>
        <c:ser>
          <c:idx val="1"/>
          <c:order val="1"/>
          <c:tx>
            <c:strRef>
              <c:f>'csavar rajza'!$H$11</c:f>
              <c:strCache>
                <c:ptCount val="1"/>
                <c:pt idx="0">
                  <c:v>crl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'csavar rajza'!$H$12:$H$28</c:f>
              <c:numCache/>
            </c:numRef>
          </c:val>
          <c:smooth val="0"/>
        </c:ser>
        <c:ser>
          <c:idx val="2"/>
          <c:order val="2"/>
          <c:tx>
            <c:strRef>
              <c:f>'csavar rajza'!$J$11</c:f>
              <c:strCache>
                <c:ptCount val="1"/>
                <c:pt idx="0">
                  <c:v>cmaxtl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'csavar rajza'!$I$12:$I$28</c:f>
              <c:numCache/>
            </c:numRef>
          </c:val>
          <c:smooth val="0"/>
        </c:ser>
        <c:axId val="31904677"/>
        <c:axId val="18706638"/>
      </c:lineChart>
      <c:catAx>
        <c:axId val="31904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r/R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706638"/>
        <c:crosses val="autoZero"/>
        <c:auto val="1"/>
        <c:lblOffset val="100"/>
        <c:noMultiLvlLbl val="0"/>
      </c:catAx>
      <c:valAx>
        <c:axId val="18706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9046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'csavar rajza'!$C$58</c:f>
              <c:strCache>
                <c:ptCount val="1"/>
                <c:pt idx="0">
                  <c:v>tmaxkorr, mm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'csavar rajza'!$A$59:$A$67</c:f>
              <c:numCache/>
            </c:numRef>
          </c:cat>
          <c:val>
            <c:numRef>
              <c:f>'csavar rajza'!$C$59:$C$67</c:f>
              <c:numCache/>
            </c:numRef>
          </c:val>
          <c:smooth val="0"/>
        </c:ser>
        <c:axId val="34142015"/>
        <c:axId val="38842680"/>
      </c:lineChart>
      <c:catAx>
        <c:axId val="34142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r/R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842680"/>
        <c:crosses val="autoZero"/>
        <c:auto val="1"/>
        <c:lblOffset val="100"/>
        <c:noMultiLvlLbl val="0"/>
      </c:catAx>
      <c:valAx>
        <c:axId val="38842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tmax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142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hátoldal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'csavar rajza'!$C$94:$K$94</c:f>
              <c:numCache/>
            </c:numRef>
          </c:cat>
          <c:val>
            <c:numRef>
              <c:f>'csavar rajza'!$C$95:$K$95</c:f>
              <c:numCache/>
            </c:numRef>
          </c:val>
          <c:smooth val="0"/>
        </c:ser>
        <c:ser>
          <c:idx val="1"/>
          <c:order val="1"/>
          <c:tx>
            <c:v>tolóoldal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'csavar rajza'!$C$94:$K$94</c:f>
              <c:numCache/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14039801"/>
        <c:axId val="59249346"/>
      </c:lineChart>
      <c:catAx>
        <c:axId val="14039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249346"/>
        <c:crosses val="autoZero"/>
        <c:auto val="1"/>
        <c:lblOffset val="100"/>
        <c:noMultiLvlLbl val="0"/>
      </c:catAx>
      <c:valAx>
        <c:axId val="59249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039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hátoldal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'csavar rajza'!$C$96:$K$96</c:f>
              <c:numCache/>
            </c:numRef>
          </c:cat>
          <c:val>
            <c:numRef>
              <c:f>'csavar rajza'!$C$97:$K$97</c:f>
              <c:numCache/>
            </c:numRef>
          </c:val>
          <c:smooth val="0"/>
        </c:ser>
        <c:ser>
          <c:idx val="1"/>
          <c:order val="1"/>
          <c:tx>
            <c:v>tolóoldal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'csavar rajza'!$C$96:$K$96</c:f>
              <c:numCache/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63482067"/>
        <c:axId val="34467692"/>
      </c:lineChart>
      <c:catAx>
        <c:axId val="63482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467692"/>
        <c:crosses val="autoZero"/>
        <c:auto val="1"/>
        <c:lblOffset val="100"/>
        <c:noMultiLvlLbl val="0"/>
      </c:catAx>
      <c:valAx>
        <c:axId val="34467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4820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hátoldal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'csavar rajza'!$C$98:$K$98</c:f>
              <c:numCache/>
            </c:numRef>
          </c:cat>
          <c:val>
            <c:numRef>
              <c:f>'csavar rajza'!$C$99:$K$99</c:f>
              <c:numCache/>
            </c:numRef>
          </c:val>
          <c:smooth val="0"/>
        </c:ser>
        <c:ser>
          <c:idx val="1"/>
          <c:order val="1"/>
          <c:tx>
            <c:v>tolóoldal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'csavar rajza'!$C$98:$K$98</c:f>
              <c:numCache/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41773773"/>
        <c:axId val="40419638"/>
      </c:lineChart>
      <c:catAx>
        <c:axId val="4177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19638"/>
        <c:crosses val="autoZero"/>
        <c:auto val="1"/>
        <c:lblOffset val="100"/>
        <c:noMultiLvlLbl val="0"/>
      </c:catAx>
      <c:valAx>
        <c:axId val="40419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773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Relationship Id="rId8" Type="http://schemas.openxmlformats.org/officeDocument/2006/relationships/chart" Target="/xl/charts/chart12.xml" /><Relationship Id="rId9" Type="http://schemas.openxmlformats.org/officeDocument/2006/relationships/chart" Target="/xl/charts/chart13.xml" /><Relationship Id="rId10" Type="http://schemas.openxmlformats.org/officeDocument/2006/relationships/chart" Target="/xl/charts/chart14.xml" /><Relationship Id="rId11" Type="http://schemas.openxmlformats.org/officeDocument/2006/relationships/chart" Target="/xl/charts/chart15.xml" /><Relationship Id="rId1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17</xdr:row>
      <xdr:rowOff>104775</xdr:rowOff>
    </xdr:from>
    <xdr:to>
      <xdr:col>8</xdr:col>
      <xdr:colOff>133350</xdr:colOff>
      <xdr:row>34</xdr:row>
      <xdr:rowOff>66675</xdr:rowOff>
    </xdr:to>
    <xdr:graphicFrame>
      <xdr:nvGraphicFramePr>
        <xdr:cNvPr id="1" name="Chart 2"/>
        <xdr:cNvGraphicFramePr/>
      </xdr:nvGraphicFramePr>
      <xdr:xfrm>
        <a:off x="342900" y="3333750"/>
        <a:ext cx="46672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44</xdr:row>
      <xdr:rowOff>85725</xdr:rowOff>
    </xdr:from>
    <xdr:to>
      <xdr:col>8</xdr:col>
      <xdr:colOff>38100</xdr:colOff>
      <xdr:row>57</xdr:row>
      <xdr:rowOff>28575</xdr:rowOff>
    </xdr:to>
    <xdr:graphicFrame>
      <xdr:nvGraphicFramePr>
        <xdr:cNvPr id="2" name="Chart 3"/>
        <xdr:cNvGraphicFramePr/>
      </xdr:nvGraphicFramePr>
      <xdr:xfrm>
        <a:off x="238125" y="7896225"/>
        <a:ext cx="4676775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71</xdr:row>
      <xdr:rowOff>66675</xdr:rowOff>
    </xdr:from>
    <xdr:to>
      <xdr:col>7</xdr:col>
      <xdr:colOff>523875</xdr:colOff>
      <xdr:row>84</xdr:row>
      <xdr:rowOff>19050</xdr:rowOff>
    </xdr:to>
    <xdr:graphicFrame>
      <xdr:nvGraphicFramePr>
        <xdr:cNvPr id="3" name="Chart 4"/>
        <xdr:cNvGraphicFramePr/>
      </xdr:nvGraphicFramePr>
      <xdr:xfrm>
        <a:off x="104775" y="12573000"/>
        <a:ext cx="4686300" cy="2057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</xdr:row>
      <xdr:rowOff>57150</xdr:rowOff>
    </xdr:from>
    <xdr:to>
      <xdr:col>8</xdr:col>
      <xdr:colOff>371475</xdr:colOff>
      <xdr:row>27</xdr:row>
      <xdr:rowOff>152400</xdr:rowOff>
    </xdr:to>
    <xdr:graphicFrame>
      <xdr:nvGraphicFramePr>
        <xdr:cNvPr id="1" name="Chart 2"/>
        <xdr:cNvGraphicFramePr/>
      </xdr:nvGraphicFramePr>
      <xdr:xfrm>
        <a:off x="219075" y="2562225"/>
        <a:ext cx="50292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28</xdr:row>
      <xdr:rowOff>47625</xdr:rowOff>
    </xdr:from>
    <xdr:to>
      <xdr:col>8</xdr:col>
      <xdr:colOff>133350</xdr:colOff>
      <xdr:row>42</xdr:row>
      <xdr:rowOff>114300</xdr:rowOff>
    </xdr:to>
    <xdr:graphicFrame>
      <xdr:nvGraphicFramePr>
        <xdr:cNvPr id="1" name="Chart 1"/>
        <xdr:cNvGraphicFramePr/>
      </xdr:nvGraphicFramePr>
      <xdr:xfrm>
        <a:off x="342900" y="4733925"/>
        <a:ext cx="469582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276225</xdr:colOff>
      <xdr:row>57</xdr:row>
      <xdr:rowOff>95250</xdr:rowOff>
    </xdr:from>
    <xdr:to>
      <xdr:col>9</xdr:col>
      <xdr:colOff>571500</xdr:colOff>
      <xdr:row>67</xdr:row>
      <xdr:rowOff>0</xdr:rowOff>
    </xdr:to>
    <xdr:graphicFrame>
      <xdr:nvGraphicFramePr>
        <xdr:cNvPr id="2" name="Chart 2"/>
        <xdr:cNvGraphicFramePr/>
      </xdr:nvGraphicFramePr>
      <xdr:xfrm>
        <a:off x="2105025" y="9477375"/>
        <a:ext cx="3981450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571500</xdr:colOff>
      <xdr:row>118</xdr:row>
      <xdr:rowOff>28575</xdr:rowOff>
    </xdr:from>
    <xdr:to>
      <xdr:col>9</xdr:col>
      <xdr:colOff>0</xdr:colOff>
      <xdr:row>122</xdr:row>
      <xdr:rowOff>19050</xdr:rowOff>
    </xdr:to>
    <xdr:graphicFrame>
      <xdr:nvGraphicFramePr>
        <xdr:cNvPr id="3" name="Chart 3"/>
        <xdr:cNvGraphicFramePr/>
      </xdr:nvGraphicFramePr>
      <xdr:xfrm>
        <a:off x="571500" y="19326225"/>
        <a:ext cx="4943475" cy="638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28575</xdr:colOff>
      <xdr:row>122</xdr:row>
      <xdr:rowOff>0</xdr:rowOff>
    </xdr:from>
    <xdr:to>
      <xdr:col>9</xdr:col>
      <xdr:colOff>76200</xdr:colOff>
      <xdr:row>127</xdr:row>
      <xdr:rowOff>9525</xdr:rowOff>
    </xdr:to>
    <xdr:graphicFrame>
      <xdr:nvGraphicFramePr>
        <xdr:cNvPr id="4" name="Chart 4"/>
        <xdr:cNvGraphicFramePr/>
      </xdr:nvGraphicFramePr>
      <xdr:xfrm>
        <a:off x="638175" y="19945350"/>
        <a:ext cx="4953000" cy="819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95250</xdr:colOff>
      <xdr:row>126</xdr:row>
      <xdr:rowOff>9525</xdr:rowOff>
    </xdr:from>
    <xdr:to>
      <xdr:col>9</xdr:col>
      <xdr:colOff>123825</xdr:colOff>
      <xdr:row>131</xdr:row>
      <xdr:rowOff>28575</xdr:rowOff>
    </xdr:to>
    <xdr:graphicFrame>
      <xdr:nvGraphicFramePr>
        <xdr:cNvPr id="5" name="Chart 5"/>
        <xdr:cNvGraphicFramePr/>
      </xdr:nvGraphicFramePr>
      <xdr:xfrm>
        <a:off x="704850" y="20602575"/>
        <a:ext cx="4933950" cy="828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133350</xdr:colOff>
      <xdr:row>130</xdr:row>
      <xdr:rowOff>66675</xdr:rowOff>
    </xdr:from>
    <xdr:to>
      <xdr:col>9</xdr:col>
      <xdr:colOff>190500</xdr:colOff>
      <xdr:row>136</xdr:row>
      <xdr:rowOff>38100</xdr:rowOff>
    </xdr:to>
    <xdr:graphicFrame>
      <xdr:nvGraphicFramePr>
        <xdr:cNvPr id="6" name="Chart 6"/>
        <xdr:cNvGraphicFramePr/>
      </xdr:nvGraphicFramePr>
      <xdr:xfrm>
        <a:off x="742950" y="21307425"/>
        <a:ext cx="4962525" cy="942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190500</xdr:colOff>
      <xdr:row>135</xdr:row>
      <xdr:rowOff>19050</xdr:rowOff>
    </xdr:from>
    <xdr:to>
      <xdr:col>9</xdr:col>
      <xdr:colOff>247650</xdr:colOff>
      <xdr:row>141</xdr:row>
      <xdr:rowOff>152400</xdr:rowOff>
    </xdr:to>
    <xdr:graphicFrame>
      <xdr:nvGraphicFramePr>
        <xdr:cNvPr id="7" name="Chart 7"/>
        <xdr:cNvGraphicFramePr/>
      </xdr:nvGraphicFramePr>
      <xdr:xfrm>
        <a:off x="800100" y="22069425"/>
        <a:ext cx="4962525" cy="1104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257175</xdr:colOff>
      <xdr:row>141</xdr:row>
      <xdr:rowOff>76200</xdr:rowOff>
    </xdr:from>
    <xdr:to>
      <xdr:col>9</xdr:col>
      <xdr:colOff>304800</xdr:colOff>
      <xdr:row>148</xdr:row>
      <xdr:rowOff>57150</xdr:rowOff>
    </xdr:to>
    <xdr:graphicFrame>
      <xdr:nvGraphicFramePr>
        <xdr:cNvPr id="8" name="Chart 8"/>
        <xdr:cNvGraphicFramePr/>
      </xdr:nvGraphicFramePr>
      <xdr:xfrm>
        <a:off x="866775" y="23098125"/>
        <a:ext cx="4953000" cy="1114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314325</xdr:colOff>
      <xdr:row>148</xdr:row>
      <xdr:rowOff>19050</xdr:rowOff>
    </xdr:from>
    <xdr:to>
      <xdr:col>9</xdr:col>
      <xdr:colOff>228600</xdr:colOff>
      <xdr:row>156</xdr:row>
      <xdr:rowOff>9525</xdr:rowOff>
    </xdr:to>
    <xdr:graphicFrame>
      <xdr:nvGraphicFramePr>
        <xdr:cNvPr id="9" name="Chart 9"/>
        <xdr:cNvGraphicFramePr/>
      </xdr:nvGraphicFramePr>
      <xdr:xfrm>
        <a:off x="923925" y="24174450"/>
        <a:ext cx="4819650" cy="12858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361950</xdr:colOff>
      <xdr:row>155</xdr:row>
      <xdr:rowOff>28575</xdr:rowOff>
    </xdr:from>
    <xdr:to>
      <xdr:col>9</xdr:col>
      <xdr:colOff>142875</xdr:colOff>
      <xdr:row>164</xdr:row>
      <xdr:rowOff>9525</xdr:rowOff>
    </xdr:to>
    <xdr:graphicFrame>
      <xdr:nvGraphicFramePr>
        <xdr:cNvPr id="10" name="Chart 10"/>
        <xdr:cNvGraphicFramePr/>
      </xdr:nvGraphicFramePr>
      <xdr:xfrm>
        <a:off x="971550" y="25317450"/>
        <a:ext cx="4686300" cy="14382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438150</xdr:colOff>
      <xdr:row>163</xdr:row>
      <xdr:rowOff>28575</xdr:rowOff>
    </xdr:from>
    <xdr:to>
      <xdr:col>9</xdr:col>
      <xdr:colOff>66675</xdr:colOff>
      <xdr:row>172</xdr:row>
      <xdr:rowOff>19050</xdr:rowOff>
    </xdr:to>
    <xdr:graphicFrame>
      <xdr:nvGraphicFramePr>
        <xdr:cNvPr id="11" name="Chart 11"/>
        <xdr:cNvGraphicFramePr/>
      </xdr:nvGraphicFramePr>
      <xdr:xfrm>
        <a:off x="1047750" y="26612850"/>
        <a:ext cx="4533900" cy="1447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104775</xdr:colOff>
      <xdr:row>205</xdr:row>
      <xdr:rowOff>19050</xdr:rowOff>
    </xdr:from>
    <xdr:to>
      <xdr:col>8</xdr:col>
      <xdr:colOff>504825</xdr:colOff>
      <xdr:row>220</xdr:row>
      <xdr:rowOff>133350</xdr:rowOff>
    </xdr:to>
    <xdr:graphicFrame>
      <xdr:nvGraphicFramePr>
        <xdr:cNvPr id="12" name="Chart 12"/>
        <xdr:cNvGraphicFramePr/>
      </xdr:nvGraphicFramePr>
      <xdr:xfrm>
        <a:off x="104775" y="33480375"/>
        <a:ext cx="5305425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52.7109375" style="0" customWidth="1"/>
    <col min="2" max="2" width="78.8515625" style="0" customWidth="1"/>
  </cols>
  <sheetData>
    <row r="1" spans="1:2" ht="39.75" customHeight="1">
      <c r="A1" s="42" t="s">
        <v>369</v>
      </c>
      <c r="B1" s="43"/>
    </row>
    <row r="2" spans="1:2" ht="408.75" customHeight="1">
      <c r="A2" s="31" t="s">
        <v>240</v>
      </c>
      <c r="B2" s="10" t="s">
        <v>239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3" t="s">
        <v>1</v>
      </c>
    </row>
    <row r="2" spans="1:6" ht="12.75">
      <c r="A2" t="s">
        <v>6</v>
      </c>
      <c r="C2" s="1">
        <v>17</v>
      </c>
      <c r="D2" t="s">
        <v>0</v>
      </c>
      <c r="E2" t="s">
        <v>5</v>
      </c>
      <c r="F2">
        <f>C3/C2</f>
        <v>0.2823529411764706</v>
      </c>
    </row>
    <row r="3" spans="1:6" ht="12.75">
      <c r="A3" t="s">
        <v>7</v>
      </c>
      <c r="C3" s="1">
        <v>4.8</v>
      </c>
      <c r="D3" t="s">
        <v>0</v>
      </c>
      <c r="E3" t="s">
        <v>11</v>
      </c>
      <c r="F3">
        <f>C7/C4</f>
        <v>0.4705882352941177</v>
      </c>
    </row>
    <row r="4" spans="1:6" ht="12.75">
      <c r="A4" t="s">
        <v>8</v>
      </c>
      <c r="C4" s="1">
        <v>1.7</v>
      </c>
      <c r="D4" t="s">
        <v>0</v>
      </c>
      <c r="E4" t="s">
        <v>12</v>
      </c>
      <c r="F4" s="5">
        <f>C6/C2</f>
        <v>0.08235294117647059</v>
      </c>
    </row>
    <row r="5" spans="1:4" ht="15.75">
      <c r="A5" t="s">
        <v>9</v>
      </c>
      <c r="C5" s="1">
        <v>0.6</v>
      </c>
      <c r="D5" t="s">
        <v>0</v>
      </c>
    </row>
    <row r="6" spans="1:7" ht="12.75">
      <c r="A6" t="s">
        <v>79</v>
      </c>
      <c r="C6" s="2">
        <v>1.4</v>
      </c>
      <c r="D6" t="s">
        <v>0</v>
      </c>
      <c r="E6" t="s">
        <v>293</v>
      </c>
      <c r="G6">
        <v>2</v>
      </c>
    </row>
    <row r="7" spans="1:7" ht="12.75">
      <c r="A7" t="s">
        <v>80</v>
      </c>
      <c r="C7" s="2">
        <v>0.8</v>
      </c>
      <c r="D7" t="s">
        <v>0</v>
      </c>
      <c r="E7" s="9" t="s">
        <v>294</v>
      </c>
      <c r="G7">
        <v>0.65</v>
      </c>
    </row>
    <row r="8" spans="1:7" ht="15.75">
      <c r="A8" t="s">
        <v>241</v>
      </c>
      <c r="C8" s="2"/>
      <c r="D8" s="4" t="s">
        <v>66</v>
      </c>
      <c r="E8">
        <v>300000</v>
      </c>
      <c r="F8" t="s">
        <v>68</v>
      </c>
      <c r="G8" t="s">
        <v>242</v>
      </c>
    </row>
    <row r="9" spans="1:7" ht="15.75">
      <c r="A9" t="s">
        <v>3</v>
      </c>
      <c r="E9">
        <v>1000</v>
      </c>
      <c r="F9" t="s">
        <v>2</v>
      </c>
      <c r="G9" s="9" t="s">
        <v>288</v>
      </c>
    </row>
    <row r="10" spans="5:7" ht="12.75">
      <c r="E10">
        <v>500</v>
      </c>
      <c r="F10" t="s">
        <v>2</v>
      </c>
      <c r="G10" s="9" t="s">
        <v>289</v>
      </c>
    </row>
    <row r="11" spans="5:7" ht="12.75">
      <c r="E11">
        <v>333</v>
      </c>
      <c r="G11" t="s">
        <v>243</v>
      </c>
    </row>
    <row r="12" spans="5:7" ht="12.75">
      <c r="E12">
        <v>250</v>
      </c>
      <c r="G12" t="s">
        <v>244</v>
      </c>
    </row>
    <row r="13" spans="5:7" ht="12.75">
      <c r="E13">
        <v>200</v>
      </c>
      <c r="G13" t="s">
        <v>245</v>
      </c>
    </row>
    <row r="14" spans="1:7" ht="14.25">
      <c r="A14" t="s">
        <v>81</v>
      </c>
      <c r="D14" s="4" t="s">
        <v>82</v>
      </c>
      <c r="E14">
        <v>1000</v>
      </c>
      <c r="F14" t="s">
        <v>25</v>
      </c>
      <c r="G14" t="s">
        <v>38</v>
      </c>
    </row>
    <row r="15" spans="1:6" ht="12.75">
      <c r="A15" s="6" t="s">
        <v>248</v>
      </c>
      <c r="D15" s="4" t="s">
        <v>246</v>
      </c>
      <c r="E15">
        <v>10</v>
      </c>
      <c r="F15" t="s">
        <v>247</v>
      </c>
    </row>
    <row r="16" spans="1:12" ht="12.75">
      <c r="A16" s="6"/>
      <c r="D16" s="13"/>
      <c r="E16" s="13">
        <f>1000*E15/3600</f>
        <v>2.7777777777777777</v>
      </c>
      <c r="F16" t="s">
        <v>31</v>
      </c>
      <c r="G16" s="13"/>
      <c r="H16" s="13"/>
      <c r="I16" s="13"/>
      <c r="J16" s="13"/>
      <c r="K16" s="13"/>
      <c r="L16" s="13"/>
    </row>
    <row r="17" spans="1:7" ht="15.75">
      <c r="A17" t="s">
        <v>4</v>
      </c>
      <c r="D17" s="4" t="s">
        <v>10</v>
      </c>
      <c r="E17">
        <v>0.45</v>
      </c>
      <c r="G17" t="s">
        <v>249</v>
      </c>
    </row>
    <row r="18" spans="4:5" ht="15.75">
      <c r="D18" s="4" t="s">
        <v>14</v>
      </c>
      <c r="E18">
        <v>0.03</v>
      </c>
    </row>
    <row r="19" spans="4:5" ht="15.75">
      <c r="D19" s="4" t="s">
        <v>13</v>
      </c>
      <c r="E19">
        <v>-0.09</v>
      </c>
    </row>
    <row r="20" spans="4:5" ht="15.75">
      <c r="D20" s="4" t="s">
        <v>15</v>
      </c>
      <c r="E20">
        <v>0.03</v>
      </c>
    </row>
    <row r="21" spans="4:7" ht="12.75">
      <c r="D21" s="4" t="s">
        <v>16</v>
      </c>
      <c r="E21">
        <f>SUM(E17:E20)</f>
        <v>0.42000000000000004</v>
      </c>
      <c r="G21" t="s">
        <v>250</v>
      </c>
    </row>
    <row r="22" spans="1:8" ht="13.5">
      <c r="A22" s="22" t="s">
        <v>252</v>
      </c>
      <c r="D22" s="4" t="s">
        <v>16</v>
      </c>
      <c r="E22">
        <f>0.5*C5-0.05</f>
        <v>0.25</v>
      </c>
      <c r="G22" s="9" t="s">
        <v>253</v>
      </c>
      <c r="H22" t="s">
        <v>254</v>
      </c>
    </row>
    <row r="23" spans="4:8" ht="15.75">
      <c r="D23" s="4"/>
      <c r="E23">
        <f>0.55*C5-0.2</f>
        <v>0.13</v>
      </c>
      <c r="G23" t="s">
        <v>251</v>
      </c>
      <c r="H23" t="s">
        <v>255</v>
      </c>
    </row>
    <row r="24" spans="1:7" ht="12.75">
      <c r="A24" t="s">
        <v>17</v>
      </c>
      <c r="D24" s="4" t="s">
        <v>16</v>
      </c>
      <c r="E24">
        <v>0.2</v>
      </c>
      <c r="G24" t="s">
        <v>69</v>
      </c>
    </row>
    <row r="25" spans="1:7" ht="12.75">
      <c r="A25" t="s">
        <v>18</v>
      </c>
      <c r="D25" s="4" t="s">
        <v>19</v>
      </c>
      <c r="E25">
        <v>0.35</v>
      </c>
      <c r="G25" t="s">
        <v>250</v>
      </c>
    </row>
    <row r="26" spans="1:8" ht="12.75">
      <c r="A26" s="9" t="s">
        <v>257</v>
      </c>
      <c r="D26" s="4" t="s">
        <v>19</v>
      </c>
      <c r="E26">
        <f>0.65*E24</f>
        <v>0.13</v>
      </c>
      <c r="G26" t="s">
        <v>26</v>
      </c>
      <c r="H26" t="s">
        <v>254</v>
      </c>
    </row>
    <row r="27" spans="4:8" ht="12.75">
      <c r="D27" s="4"/>
      <c r="E27">
        <v>0.2</v>
      </c>
      <c r="G27" t="s">
        <v>258</v>
      </c>
      <c r="H27" t="s">
        <v>255</v>
      </c>
    </row>
    <row r="28" spans="1:5" ht="12.75">
      <c r="A28" t="s">
        <v>256</v>
      </c>
      <c r="D28" s="4" t="s">
        <v>19</v>
      </c>
      <c r="E28">
        <v>0.2</v>
      </c>
    </row>
    <row r="29" spans="1:7" ht="15.75">
      <c r="A29" s="6" t="s">
        <v>90</v>
      </c>
      <c r="D29" s="4" t="s">
        <v>91</v>
      </c>
      <c r="E29">
        <f>(1-E28)/(1-E24)</f>
        <v>1</v>
      </c>
      <c r="G29" t="s">
        <v>92</v>
      </c>
    </row>
    <row r="30" spans="1:5" ht="15.75">
      <c r="A30" s="9" t="s">
        <v>96</v>
      </c>
      <c r="D30" s="4" t="s">
        <v>89</v>
      </c>
      <c r="E30">
        <v>0.4</v>
      </c>
    </row>
    <row r="31" spans="1:7" ht="15.75">
      <c r="A31" s="6" t="s">
        <v>59</v>
      </c>
      <c r="D31" s="4" t="s">
        <v>60</v>
      </c>
      <c r="E31">
        <v>1.01</v>
      </c>
      <c r="G31" t="s">
        <v>259</v>
      </c>
    </row>
    <row r="32" spans="1:7" ht="15.75">
      <c r="A32" s="6" t="s">
        <v>93</v>
      </c>
      <c r="D32" s="4" t="s">
        <v>94</v>
      </c>
      <c r="E32">
        <f>E30*E31*E29</f>
        <v>0.404</v>
      </c>
      <c r="G32" t="s">
        <v>95</v>
      </c>
    </row>
    <row r="33" spans="1:7" ht="15.75">
      <c r="A33" s="6" t="s">
        <v>63</v>
      </c>
      <c r="D33" s="4" t="s">
        <v>64</v>
      </c>
      <c r="E33">
        <v>0.97</v>
      </c>
      <c r="G33" t="s">
        <v>260</v>
      </c>
    </row>
    <row r="34" spans="1:7" ht="15.75">
      <c r="A34" s="6" t="s">
        <v>98</v>
      </c>
      <c r="D34" s="4" t="s">
        <v>99</v>
      </c>
      <c r="E34" s="14">
        <f>E32*E33*E8</f>
        <v>117564</v>
      </c>
      <c r="F34" t="s">
        <v>68</v>
      </c>
      <c r="G34" t="s">
        <v>97</v>
      </c>
    </row>
    <row r="35" spans="1:7" ht="12.75">
      <c r="A35" t="s">
        <v>22</v>
      </c>
      <c r="D35" s="4" t="s">
        <v>23</v>
      </c>
      <c r="E35" s="7">
        <v>0.02</v>
      </c>
      <c r="G35" t="s">
        <v>70</v>
      </c>
    </row>
  </sheetData>
  <printOptions/>
  <pageMargins left="0.75" right="0.75" top="1" bottom="1" header="0.5" footer="0.5"/>
  <pageSetup horizontalDpi="600" verticalDpi="600" orientation="portrait" paperSize="9" r:id="rId1"/>
  <ignoredErrors>
    <ignoredError sqref="E2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88"/>
  <sheetViews>
    <sheetView workbookViewId="0" topLeftCell="A1">
      <selection activeCell="A1" sqref="A1"/>
    </sheetView>
  </sheetViews>
  <sheetFormatPr defaultColWidth="9.140625" defaultRowHeight="12.75"/>
  <cols>
    <col min="11" max="11" width="12.421875" style="0" bestFit="1" customWidth="1"/>
  </cols>
  <sheetData>
    <row r="1" ht="14.25">
      <c r="A1" s="3" t="s">
        <v>261</v>
      </c>
    </row>
    <row r="2" spans="1:7" ht="15.75">
      <c r="A2" s="6" t="s">
        <v>63</v>
      </c>
      <c r="D2" s="4" t="s">
        <v>64</v>
      </c>
      <c r="E2">
        <f>Adatok!E33</f>
        <v>0.97</v>
      </c>
      <c r="G2" t="s">
        <v>65</v>
      </c>
    </row>
    <row r="3" spans="1:7" ht="15.75">
      <c r="A3" s="6" t="s">
        <v>71</v>
      </c>
      <c r="D3" s="4" t="s">
        <v>61</v>
      </c>
      <c r="E3">
        <f>Adatok!E8*E2</f>
        <v>291000</v>
      </c>
      <c r="F3" s="9" t="s">
        <v>62</v>
      </c>
      <c r="G3" t="s">
        <v>72</v>
      </c>
    </row>
    <row r="4" spans="1:7" ht="15.75">
      <c r="A4" s="6" t="s">
        <v>262</v>
      </c>
      <c r="D4" s="4" t="s">
        <v>56</v>
      </c>
      <c r="E4" s="14">
        <f>E3*60/(2*PI()*Adatok!E9)</f>
        <v>2778.8453063844927</v>
      </c>
      <c r="F4" t="s">
        <v>57</v>
      </c>
      <c r="G4" t="s">
        <v>73</v>
      </c>
    </row>
    <row r="5" spans="1:7" ht="15.75">
      <c r="A5" s="6" t="s">
        <v>59</v>
      </c>
      <c r="D5" s="4" t="s">
        <v>60</v>
      </c>
      <c r="E5">
        <f>Adatok!E31</f>
        <v>1.01</v>
      </c>
      <c r="G5" t="s">
        <v>264</v>
      </c>
    </row>
    <row r="6" spans="1:7" ht="15.75">
      <c r="A6" s="6" t="s">
        <v>74</v>
      </c>
      <c r="D6" s="4" t="s">
        <v>75</v>
      </c>
      <c r="E6" s="14">
        <f>E5*E4</f>
        <v>2806.6337594483375</v>
      </c>
      <c r="F6" t="s">
        <v>57</v>
      </c>
      <c r="G6" t="s">
        <v>76</v>
      </c>
    </row>
    <row r="7" spans="1:11" ht="15.75">
      <c r="A7" t="s">
        <v>266</v>
      </c>
      <c r="D7" s="4" t="s">
        <v>67</v>
      </c>
      <c r="E7" t="s">
        <v>265</v>
      </c>
      <c r="G7" t="s">
        <v>78</v>
      </c>
      <c r="H7" t="s">
        <v>77</v>
      </c>
      <c r="K7" s="11"/>
    </row>
    <row r="8" spans="1:11" ht="15.75">
      <c r="A8" t="s">
        <v>28</v>
      </c>
      <c r="D8" s="4" t="s">
        <v>30</v>
      </c>
      <c r="E8" s="13">
        <f>Adatok!E16*(1-Adatok!E24)</f>
        <v>2.2222222222222223</v>
      </c>
      <c r="F8" t="s">
        <v>31</v>
      </c>
      <c r="G8" t="s">
        <v>29</v>
      </c>
      <c r="K8" s="11"/>
    </row>
    <row r="9" spans="1:7" ht="15.75">
      <c r="A9" t="s">
        <v>269</v>
      </c>
      <c r="D9" s="4" t="s">
        <v>34</v>
      </c>
      <c r="E9" t="s">
        <v>268</v>
      </c>
      <c r="G9" t="s">
        <v>33</v>
      </c>
    </row>
    <row r="10" spans="1:7" ht="12.75">
      <c r="A10" t="s">
        <v>263</v>
      </c>
      <c r="D10" s="4"/>
      <c r="G10" t="s">
        <v>267</v>
      </c>
    </row>
    <row r="11" spans="1:4" ht="15.75">
      <c r="A11" t="s">
        <v>270</v>
      </c>
      <c r="D11" s="4"/>
    </row>
    <row r="12" spans="1:7" ht="12.75">
      <c r="A12" s="4" t="s">
        <v>271</v>
      </c>
      <c r="B12" s="32">
        <v>0.9</v>
      </c>
      <c r="C12" s="32">
        <v>1</v>
      </c>
      <c r="D12" s="32">
        <v>1.1</v>
      </c>
      <c r="E12" s="32">
        <v>1.2</v>
      </c>
      <c r="F12" s="32">
        <v>1.3</v>
      </c>
      <c r="G12" s="32">
        <v>1.4</v>
      </c>
    </row>
    <row r="13" spans="1:7" ht="15.75">
      <c r="A13" s="4" t="s">
        <v>40</v>
      </c>
      <c r="B13" s="5">
        <f>10*E6*POWER(60*(1+Adatok!E35),2)/(Adatok!E14*POWER(Adatok!E9,2)*POWER(B12,5))</f>
        <v>0.17802296987227859</v>
      </c>
      <c r="C13" s="5">
        <f>10*E6*POWER(60*(1+Adatok!E35),2)/(Adatok!E14*POWER(Adatok!E9,2)*POWER(C12,5))</f>
        <v>0.10512078347988182</v>
      </c>
      <c r="D13" s="5">
        <f>10*E6*POWER(60*(1+Adatok!E35),2)/(Adatok!E14*POWER(Adatok!E9,2)*POWER(D12,5))</f>
        <v>0.06527173595934319</v>
      </c>
      <c r="E13" s="5">
        <f>10*E6*POWER(60*(1+Adatok!E35),2)/(Adatok!E14*POWER(Adatok!E9,2)*POWER(E12,5))</f>
        <v>0.042245685233363</v>
      </c>
      <c r="F13" s="5">
        <f>10*E6*POWER(60*(1+Adatok!E35),2)/(Adatok!E14*POWER(Adatok!E9,2)*POWER(F12,5))</f>
        <v>0.02831208330883744</v>
      </c>
      <c r="G13" s="5">
        <f>10*E6*POWER(60*(1+Adatok!E35),2)/(Adatok!E14*POWER(Adatok!E9,2)*POWER(G12,5))</f>
        <v>0.019545573176333125</v>
      </c>
    </row>
    <row r="14" spans="1:7" ht="12.75">
      <c r="A14" s="4" t="s">
        <v>37</v>
      </c>
      <c r="B14" s="5">
        <f>E8*60*(1+Adatok!E35)/(Adatok!E9*B12)</f>
        <v>0.1511111111111111</v>
      </c>
      <c r="C14" s="5">
        <f>E8*60*(1+Adatok!E35)/(Adatok!E9*C12)</f>
        <v>0.136</v>
      </c>
      <c r="D14" s="5">
        <f>E8*60*(1+Adatok!E35)/(Adatok!E9*D12)</f>
        <v>0.12363636363636364</v>
      </c>
      <c r="E14" s="5">
        <f>E8*60*(1+Adatok!E35)/(Adatok!E9*E12)</f>
        <v>0.11333333333333333</v>
      </c>
      <c r="F14" s="5">
        <f>E8*60*(1+Adatok!E35)/(Adatok!E9*F12)</f>
        <v>0.10461538461538461</v>
      </c>
      <c r="G14" s="5">
        <f>E8*60*(1+Adatok!E35)/(Adatok!E9*G12)</f>
        <v>0.09714285714285714</v>
      </c>
    </row>
    <row r="15" spans="1:3" ht="12.75">
      <c r="A15" s="4" t="s">
        <v>39</v>
      </c>
      <c r="B15">
        <v>0.66</v>
      </c>
      <c r="C15">
        <v>0.53</v>
      </c>
    </row>
    <row r="16" spans="1:3" ht="15.75">
      <c r="A16" s="4" t="s">
        <v>36</v>
      </c>
      <c r="B16">
        <v>0.22</v>
      </c>
      <c r="C16">
        <v>0.15</v>
      </c>
    </row>
    <row r="17" spans="1:8" ht="15.75">
      <c r="A17" s="8" t="s">
        <v>41</v>
      </c>
      <c r="B17">
        <f aca="true" t="shared" si="0" ref="B17:G17">(B14/(2*PI()))*(10*B16/B13)</f>
        <v>0.29720983014007896</v>
      </c>
      <c r="C17">
        <f t="shared" si="0"/>
        <v>0.308860030490168</v>
      </c>
      <c r="D17">
        <f t="shared" si="0"/>
        <v>0</v>
      </c>
      <c r="E17">
        <f t="shared" si="0"/>
        <v>0</v>
      </c>
      <c r="F17">
        <f t="shared" si="0"/>
        <v>0</v>
      </c>
      <c r="G17">
        <f t="shared" si="0"/>
        <v>0</v>
      </c>
      <c r="H17" s="9" t="s">
        <v>272</v>
      </c>
    </row>
    <row r="36" ht="14.25">
      <c r="A36" s="3" t="s">
        <v>273</v>
      </c>
    </row>
    <row r="37" spans="1:7" ht="15.75">
      <c r="A37" s="6" t="s">
        <v>74</v>
      </c>
      <c r="D37" s="4" t="s">
        <v>75</v>
      </c>
      <c r="E37">
        <f>E5*E3*60/(2*PI()*Adatok!E11)</f>
        <v>8428.329607952966</v>
      </c>
      <c r="F37" t="s">
        <v>57</v>
      </c>
      <c r="G37" t="s">
        <v>76</v>
      </c>
    </row>
    <row r="38" spans="1:4" ht="15.75">
      <c r="A38" t="s">
        <v>270</v>
      </c>
      <c r="D38" s="4"/>
    </row>
    <row r="39" spans="1:8" ht="12.75">
      <c r="A39" s="4" t="s">
        <v>271</v>
      </c>
      <c r="B39" s="32">
        <v>1.2</v>
      </c>
      <c r="C39" s="32">
        <v>1.25</v>
      </c>
      <c r="D39" s="32">
        <v>1.3</v>
      </c>
      <c r="E39" s="32">
        <v>1.35</v>
      </c>
      <c r="F39" s="32">
        <v>1.4</v>
      </c>
      <c r="G39" s="32">
        <v>1.45</v>
      </c>
      <c r="H39" s="32">
        <v>1.5</v>
      </c>
    </row>
    <row r="40" spans="1:8" ht="15.75">
      <c r="A40" s="4" t="s">
        <v>40</v>
      </c>
      <c r="B40">
        <f>10*E37*POWER(60*(1+Adatok!E35),2)/(Adatok!E14*POWER(Adatok!E11,2)*POWER(B39,5))</f>
        <v>1.1440622570291803</v>
      </c>
      <c r="C40">
        <f>10*E37*POWER(60*(1+Adatok!E35),2)/(Adatok!E14*POWER(Adatok!E11,2)*POWER(C39,5))</f>
        <v>0.932837128736227</v>
      </c>
      <c r="D40">
        <f>10*E37*POWER(60*(1+Adatok!E35),2)/(Adatok!E14*POWER(Adatok!E11,2)*POWER(D39,5))</f>
        <v>0.7667241222998679</v>
      </c>
      <c r="E40">
        <f>10*E37*POWER(60*(1+Adatok!E35),2)/(Adatok!E14*POWER(Adatok!E11,2)*POWER(E39,5))</f>
        <v>0.634873275387088</v>
      </c>
      <c r="F40">
        <f>10*E37*POWER(60*(1+Adatok!E35),2)/(Adatok!E14*POWER(Adatok!E11,2)*POWER(F39,5))</f>
        <v>0.5293168388563638</v>
      </c>
      <c r="G40">
        <f>10*E37*POWER(60*(1+Adatok!E35),2)/(Adatok!E14*POWER(Adatok!E11,2)*POWER(G39,5))</f>
        <v>0.44413589825293154</v>
      </c>
      <c r="H40">
        <f>10*E37*POWER(60*(1+Adatok!E35),2)/(Adatok!E14*POWER(Adatok!E11,2)*POWER(H39,5))</f>
        <v>0.3748863203833217</v>
      </c>
    </row>
    <row r="41" spans="1:8" ht="12.75">
      <c r="A41" s="4" t="s">
        <v>37</v>
      </c>
      <c r="B41">
        <f>E8*60*(1+Adatok!E35)/(Adatok!E11*B39)</f>
        <v>0.3403403403403404</v>
      </c>
      <c r="C41">
        <f>E8*60*(1+Adatok!E35)/(Adatok!E11*C39)</f>
        <v>0.3267267267267267</v>
      </c>
      <c r="D41">
        <f>E8*60*(1+Adatok!E35)/(Adatok!E11*D39)</f>
        <v>0.31416031416031415</v>
      </c>
      <c r="E41">
        <f>E8*60*(1+Adatok!E35)/(Adatok!E11*E39)</f>
        <v>0.3025247469691914</v>
      </c>
      <c r="F41">
        <f>E8*60*(1+Adatok!E35)/(Adatok!E11*F39)</f>
        <v>0.29172029172029174</v>
      </c>
      <c r="G41">
        <f>E8*60*(1+Adatok!E35)/(Adatok!E11*G39)</f>
        <v>0.28166097131614376</v>
      </c>
      <c r="H41">
        <f>E8*60*(1+Adatok!E35)/(Adatok!E11*H39)</f>
        <v>0.2722722722722723</v>
      </c>
    </row>
    <row r="42" spans="1:8" ht="12.75">
      <c r="A42" s="4" t="s">
        <v>39</v>
      </c>
      <c r="B42">
        <v>1.62</v>
      </c>
      <c r="C42">
        <v>1.47</v>
      </c>
      <c r="D42">
        <v>1.33</v>
      </c>
      <c r="E42">
        <v>1.22</v>
      </c>
      <c r="F42">
        <v>1.12</v>
      </c>
      <c r="G42">
        <v>1.04</v>
      </c>
      <c r="H42">
        <v>0.95</v>
      </c>
    </row>
    <row r="43" spans="1:8" ht="15.75">
      <c r="A43" s="4" t="s">
        <v>36</v>
      </c>
      <c r="B43">
        <v>0.74</v>
      </c>
      <c r="C43">
        <v>0.66</v>
      </c>
      <c r="D43">
        <v>0.57</v>
      </c>
      <c r="E43">
        <v>0.5</v>
      </c>
      <c r="F43">
        <v>0.43</v>
      </c>
      <c r="G43">
        <v>0.38</v>
      </c>
      <c r="H43">
        <v>0.34</v>
      </c>
    </row>
    <row r="44" spans="1:8" ht="15.75">
      <c r="A44" s="8" t="s">
        <v>41</v>
      </c>
      <c r="B44">
        <f>(B41/(2*PI()))*(10*B43/B40)</f>
        <v>0.3503608907888969</v>
      </c>
      <c r="C44">
        <f aca="true" t="shared" si="1" ref="C44:H44">(C41/(2*PI()))*(10*C43/C40)</f>
        <v>0.3679111124328775</v>
      </c>
      <c r="D44">
        <f t="shared" si="1"/>
        <v>0.37171251453526183</v>
      </c>
      <c r="E44">
        <f t="shared" si="1"/>
        <v>0.3791962172168551</v>
      </c>
      <c r="F44">
        <f t="shared" si="1"/>
        <v>0.37717206214253907</v>
      </c>
      <c r="G44">
        <f t="shared" si="1"/>
        <v>0.383543408542264</v>
      </c>
      <c r="H44">
        <f t="shared" si="1"/>
        <v>0.39300933959375306</v>
      </c>
    </row>
    <row r="59" spans="1:6" ht="15.75">
      <c r="A59" t="s">
        <v>83</v>
      </c>
      <c r="D59" s="4" t="s">
        <v>84</v>
      </c>
      <c r="E59">
        <v>1.45</v>
      </c>
      <c r="F59" t="s">
        <v>0</v>
      </c>
    </row>
    <row r="60" spans="1:8" ht="15.75">
      <c r="A60" t="s">
        <v>42</v>
      </c>
      <c r="D60" s="4" t="s">
        <v>43</v>
      </c>
      <c r="E60" s="4" t="s">
        <v>44</v>
      </c>
      <c r="F60">
        <f>0.95*E59</f>
        <v>1.3775</v>
      </c>
      <c r="G60" t="s">
        <v>0</v>
      </c>
      <c r="H60" t="s">
        <v>85</v>
      </c>
    </row>
    <row r="61" ht="15.75">
      <c r="A61" t="s">
        <v>86</v>
      </c>
    </row>
    <row r="63" ht="14.25">
      <c r="A63" s="3" t="s">
        <v>274</v>
      </c>
    </row>
    <row r="64" spans="1:7" ht="15.75">
      <c r="A64" s="6" t="s">
        <v>74</v>
      </c>
      <c r="D64" s="4" t="s">
        <v>75</v>
      </c>
      <c r="E64">
        <f>E5*E3*60/(2*PI()*Adatok!E12)</f>
        <v>11226.535037793352</v>
      </c>
      <c r="F64" t="s">
        <v>57</v>
      </c>
      <c r="G64" t="s">
        <v>76</v>
      </c>
    </row>
    <row r="65" spans="1:4" ht="15.75">
      <c r="A65" t="s">
        <v>270</v>
      </c>
      <c r="D65" s="4"/>
    </row>
    <row r="66" spans="1:8" ht="12.75">
      <c r="A66" s="4" t="s">
        <v>271</v>
      </c>
      <c r="B66" s="32">
        <v>1.4</v>
      </c>
      <c r="C66" s="32">
        <v>1.45</v>
      </c>
      <c r="D66" s="32">
        <v>1.5</v>
      </c>
      <c r="E66" s="32">
        <v>1.55</v>
      </c>
      <c r="F66" s="32">
        <v>1.6</v>
      </c>
      <c r="G66" s="32">
        <v>1.65</v>
      </c>
      <c r="H66" s="32">
        <v>1.7</v>
      </c>
    </row>
    <row r="67" spans="1:8" ht="15.75">
      <c r="A67" s="4" t="s">
        <v>40</v>
      </c>
      <c r="B67" s="5">
        <f>10*E64*POWER(60*(1+Adatok!E35),2)/(Adatok!E14*POWER(Adatok!E12,2)*POWER(B66,5))</f>
        <v>1.25091668328532</v>
      </c>
      <c r="C67" s="5">
        <f>10*E64*POWER(60*(1+Adatok!E35),2)/(Adatok!E14*POWER(Adatok!E12,2)*POWER(C66,5))</f>
        <v>1.049611431162623</v>
      </c>
      <c r="D67" s="5">
        <f>10*E64*POWER(60*(1+Adatok!E35),2)/(Adatok!E14*POWER(Adatok!E12,2)*POWER(D66,5))</f>
        <v>0.885956232785177</v>
      </c>
      <c r="E67" s="5">
        <f>10*E64*POWER(60*(1+Adatok!E35),2)/(Adatok!E14*POWER(Adatok!E12,2)*POWER(E66,5))</f>
        <v>0.7519865488389718</v>
      </c>
      <c r="F67" s="5">
        <f>10*E64*POWER(60*(1+Adatok!E35),2)/(Adatok!E14*POWER(Adatok!E12,2)*POWER(F66,5))</f>
        <v>0.6416063444817003</v>
      </c>
      <c r="G67" s="5">
        <f>10*E64*POWER(60*(1+Adatok!E35),2)/(Adatok!E14*POWER(Adatok!E12,2)*POWER(G66,5))</f>
        <v>0.5501091162334771</v>
      </c>
      <c r="H67" s="5">
        <f>10*E64*POWER(60*(1+Adatok!E35),2)/(Adatok!E14*POWER(Adatok!E12,2)*POWER(H66,5))</f>
        <v>0.4738315297042195</v>
      </c>
    </row>
    <row r="68" spans="1:8" ht="12.75">
      <c r="A68" s="4" t="s">
        <v>37</v>
      </c>
      <c r="B68" s="5">
        <f>E8*60*(1+Adatok!E35)/(Adatok!E12*B66)</f>
        <v>0.38857142857142857</v>
      </c>
      <c r="C68" s="5">
        <f>E8*60*(1+Adatok!E35)/(Adatok!E12*C66)</f>
        <v>0.37517241379310345</v>
      </c>
      <c r="D68" s="5">
        <f>E8*60*(1+Adatok!E35)/(Adatok!E12*D66)</f>
        <v>0.3626666666666667</v>
      </c>
      <c r="E68" s="5">
        <f>E8*60*(1+Adatok!E35)/(Adatok!E12*E66)</f>
        <v>0.35096774193548386</v>
      </c>
      <c r="F68" s="5">
        <f>E8*60*(1+Adatok!E35)/(Adatok!E12*F66)</f>
        <v>0.34</v>
      </c>
      <c r="G68" s="5">
        <f>E8*60*(1+Adatok!E35)/(Adatok!E12*G66)</f>
        <v>0.3296969696969697</v>
      </c>
      <c r="H68" s="5">
        <f>E8*60*(1+Adatok!E35)/(Adatok!E12*H66)</f>
        <v>0.32</v>
      </c>
    </row>
    <row r="69" spans="1:8" ht="12.75">
      <c r="A69" s="4" t="s">
        <v>39</v>
      </c>
      <c r="B69" s="13">
        <v>1.72</v>
      </c>
      <c r="C69" s="13">
        <v>1.53</v>
      </c>
      <c r="D69" s="13">
        <v>1.44</v>
      </c>
      <c r="E69" s="13">
        <v>1.34</v>
      </c>
      <c r="F69" s="13">
        <v>1.23</v>
      </c>
      <c r="G69" s="13">
        <v>1.15</v>
      </c>
      <c r="H69" s="13">
        <v>1.07</v>
      </c>
    </row>
    <row r="70" spans="1:8" ht="15.75">
      <c r="A70" s="4" t="s">
        <v>36</v>
      </c>
      <c r="B70" s="13">
        <v>0.76</v>
      </c>
      <c r="C70" s="13">
        <v>0.66</v>
      </c>
      <c r="D70" s="13">
        <v>0.62</v>
      </c>
      <c r="E70" s="13">
        <v>0.55</v>
      </c>
      <c r="F70" s="13">
        <v>0.49</v>
      </c>
      <c r="G70" s="13">
        <v>0.45</v>
      </c>
      <c r="H70" s="13">
        <v>0.38</v>
      </c>
    </row>
    <row r="71" spans="1:8" ht="15.75">
      <c r="A71" s="8" t="s">
        <v>41</v>
      </c>
      <c r="B71" s="13">
        <f>(B68/(2*PI()))*(10*B70/B67)</f>
        <v>0.3757302861581591</v>
      </c>
      <c r="C71" s="13">
        <f aca="true" t="shared" si="2" ref="C71:H71">(C68/(2*PI()))*(10*C70/C67)</f>
        <v>0.37546236616816897</v>
      </c>
      <c r="D71" s="13">
        <f t="shared" si="2"/>
        <v>0.4039310086254228</v>
      </c>
      <c r="E71" s="13">
        <f t="shared" si="2"/>
        <v>0.4085450477085176</v>
      </c>
      <c r="F71" s="13">
        <f t="shared" si="2"/>
        <v>0.4132629570633248</v>
      </c>
      <c r="G71" s="13">
        <f t="shared" si="2"/>
        <v>0.42923858931905906</v>
      </c>
      <c r="H71" s="13">
        <f t="shared" si="2"/>
        <v>0.4084413946040141</v>
      </c>
    </row>
    <row r="86" spans="1:6" ht="15.75">
      <c r="A86" t="s">
        <v>83</v>
      </c>
      <c r="D86" s="4" t="s">
        <v>84</v>
      </c>
      <c r="E86">
        <v>1.65</v>
      </c>
      <c r="F86" t="s">
        <v>0</v>
      </c>
    </row>
    <row r="87" spans="1:8" ht="15.75">
      <c r="A87" t="s">
        <v>42</v>
      </c>
      <c r="D87" s="4" t="s">
        <v>43</v>
      </c>
      <c r="E87" s="4" t="s">
        <v>44</v>
      </c>
      <c r="F87">
        <f>0.95*E86</f>
        <v>1.5675</v>
      </c>
      <c r="G87" t="s">
        <v>0</v>
      </c>
      <c r="H87" t="s">
        <v>85</v>
      </c>
    </row>
    <row r="88" ht="15.75">
      <c r="A88" t="s">
        <v>275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A1" sqref="A1"/>
    </sheetView>
  </sheetViews>
  <sheetFormatPr defaultColWidth="9.140625" defaultRowHeight="12.75"/>
  <cols>
    <col min="11" max="11" width="9.421875" style="0" customWidth="1"/>
  </cols>
  <sheetData>
    <row r="1" ht="14.25">
      <c r="A1" s="3" t="s">
        <v>276</v>
      </c>
    </row>
    <row r="2" spans="1:7" s="6" customFormat="1" ht="15.75">
      <c r="A2" s="6" t="s">
        <v>237</v>
      </c>
      <c r="D2" s="4" t="s">
        <v>21</v>
      </c>
      <c r="E2" s="33">
        <f>'kiválasztás Ps-Np-KQ-Dopt'!F43*Adatok!E14*POWER(Adatok!E11/(60*(1+Adatok!E35)),2)*POWER('kiválasztás Ps-Np-KQ-Dopt'!F39,4)</f>
        <v>48906.45916955015</v>
      </c>
      <c r="F2" s="6" t="s">
        <v>20</v>
      </c>
      <c r="G2" s="6" t="s">
        <v>277</v>
      </c>
    </row>
    <row r="3" spans="1:7" ht="15.75">
      <c r="A3" t="s">
        <v>278</v>
      </c>
      <c r="D3" s="4" t="s">
        <v>24</v>
      </c>
      <c r="E3" t="s">
        <v>281</v>
      </c>
      <c r="G3" t="s">
        <v>27</v>
      </c>
    </row>
    <row r="4" spans="1:12" ht="15.75">
      <c r="A4" t="s">
        <v>28</v>
      </c>
      <c r="D4" s="4" t="s">
        <v>30</v>
      </c>
      <c r="E4">
        <f>Adatok!E16*(1-Adatok!E24)</f>
        <v>2.2222222222222223</v>
      </c>
      <c r="F4" t="s">
        <v>31</v>
      </c>
      <c r="G4" t="s">
        <v>29</v>
      </c>
      <c r="K4" s="4"/>
      <c r="L4" s="4"/>
    </row>
    <row r="5" spans="1:11" ht="15.75">
      <c r="A5" t="s">
        <v>282</v>
      </c>
      <c r="D5" s="4" t="s">
        <v>34</v>
      </c>
      <c r="E5" t="s">
        <v>283</v>
      </c>
      <c r="G5" t="s">
        <v>33</v>
      </c>
      <c r="K5" s="7"/>
    </row>
    <row r="6" spans="1:11" ht="15.75">
      <c r="A6" t="s">
        <v>279</v>
      </c>
      <c r="D6" s="4"/>
      <c r="K6" s="7"/>
    </row>
    <row r="7" spans="1:11" ht="15.75">
      <c r="A7" t="s">
        <v>280</v>
      </c>
      <c r="D7" s="4"/>
      <c r="K7" s="7"/>
    </row>
    <row r="8" spans="1:9" ht="15.75">
      <c r="A8" s="4" t="s">
        <v>35</v>
      </c>
      <c r="B8" s="4">
        <v>1000</v>
      </c>
      <c r="C8" s="4">
        <v>900</v>
      </c>
      <c r="D8" s="4">
        <v>800</v>
      </c>
      <c r="E8" s="4">
        <v>700</v>
      </c>
      <c r="F8" s="4">
        <v>600</v>
      </c>
      <c r="G8" s="4">
        <v>500</v>
      </c>
      <c r="H8" s="4">
        <v>400</v>
      </c>
      <c r="I8" s="4">
        <v>300</v>
      </c>
    </row>
    <row r="9" spans="1:9" ht="15.75">
      <c r="A9" s="4" t="s">
        <v>36</v>
      </c>
      <c r="B9" s="5">
        <f>E2*POWER(60*(1+Adatok!E35),2)/(Adatok!E14*POWER(B8,2)*POWER(Adatok!C6,4))</f>
        <v>0.047682270000000006</v>
      </c>
      <c r="C9" s="5">
        <f>E2*POWER(60*(1+Adatok!E35),2)/(Adatok!E14*POWER(C8,2)*POWER(Adatok!C6,4))</f>
        <v>0.058867</v>
      </c>
      <c r="D9" s="5">
        <f>E2*POWER(60*(1+Adatok!E35),2)/(Adatok!E14*POWER(D8,2)*POWER(Adatok!C6,4))</f>
        <v>0.074503546875</v>
      </c>
      <c r="E9" s="5">
        <f>E2*POWER(60*(1+Adatok!E35),2)/(Adatok!E14*POWER(E8,2)*POWER(Adatok!C6,4))</f>
        <v>0.09731075510204082</v>
      </c>
      <c r="F9" s="5">
        <f>E2*POWER(60*(1+Adatok!E35),2)/(Adatok!E14*POWER(F8,2)*POWER(Adatok!C6,4))</f>
        <v>0.13245075</v>
      </c>
      <c r="G9" s="5">
        <f>E2*POWER(60*(1+Adatok!E35),2)/(Adatok!E14*POWER(G8,2)*POWER(Adatok!C6,4))</f>
        <v>0.19072908000000002</v>
      </c>
      <c r="H9" s="5">
        <f>E2*POWER(60*(1+Adatok!E35),2)/(Adatok!E14*POWER(H8,2)*POWER(Adatok!C6,4))</f>
        <v>0.2980141875</v>
      </c>
      <c r="I9" s="5">
        <f>E2*POWER(60*(1+Adatok!E35),2)/(Adatok!E14*POWER(I8,2)*POWER(Adatok!C6,4))</f>
        <v>0.529803</v>
      </c>
    </row>
    <row r="10" spans="1:9" ht="12.75">
      <c r="A10" s="4" t="s">
        <v>37</v>
      </c>
      <c r="B10" s="5">
        <f>E4*60*(1+Adatok!E35)/(B8*Adatok!C6)</f>
        <v>0.09714285714285714</v>
      </c>
      <c r="C10" s="5">
        <f>E4*60*(1+Adatok!E35)/(C8*Adatok!C6)</f>
        <v>0.10793650793650794</v>
      </c>
      <c r="D10" s="5">
        <f>E4*60*(1+Adatok!E35)/(D8*Adatok!C6)</f>
        <v>0.12142857142857143</v>
      </c>
      <c r="E10" s="5">
        <f>E4*60*(1+Adatok!E35)/(E8*Adatok!C6)</f>
        <v>0.13877551020408166</v>
      </c>
      <c r="F10" s="5">
        <f>E4*60*(1+Adatok!E35)/(F8*Adatok!C6)</f>
        <v>0.1619047619047619</v>
      </c>
      <c r="G10" s="5">
        <f>E4*60*(1+Adatok!E35)/(G8*Adatok!C6)</f>
        <v>0.19428571428571428</v>
      </c>
      <c r="H10" s="5">
        <f>E4*60*(1+Adatok!E35)/(H8*Adatok!C6)</f>
        <v>0.24285714285714285</v>
      </c>
      <c r="I10" s="5">
        <f>E4*60*(1+Adatok!E35)/(I8*Adatok!C6)</f>
        <v>0.3238095238095238</v>
      </c>
    </row>
    <row r="11" spans="1:9" ht="12.75">
      <c r="A11" s="4" t="s">
        <v>39</v>
      </c>
      <c r="B11" s="1">
        <v>0.36</v>
      </c>
      <c r="C11" s="1">
        <v>0.38</v>
      </c>
      <c r="D11" s="7">
        <v>0.4</v>
      </c>
      <c r="E11" s="7">
        <v>0.42</v>
      </c>
      <c r="F11" s="7">
        <v>0.52</v>
      </c>
      <c r="G11" s="35">
        <v>0.65</v>
      </c>
      <c r="H11" s="7">
        <v>0.9</v>
      </c>
      <c r="I11" s="7">
        <v>1.28</v>
      </c>
    </row>
    <row r="12" spans="1:9" ht="15.75">
      <c r="A12" s="4" t="s">
        <v>40</v>
      </c>
      <c r="B12" s="34">
        <v>0.02</v>
      </c>
      <c r="C12" s="34">
        <v>0.027</v>
      </c>
      <c r="D12" s="5">
        <v>0.037</v>
      </c>
      <c r="E12" s="5">
        <v>0.052</v>
      </c>
      <c r="F12" s="5">
        <v>0.088</v>
      </c>
      <c r="G12" s="5">
        <v>0.159</v>
      </c>
      <c r="H12" s="5">
        <v>0.32</v>
      </c>
      <c r="I12" s="5">
        <v>0.76</v>
      </c>
    </row>
    <row r="13" spans="1:9" ht="15.75">
      <c r="A13" s="4" t="s">
        <v>41</v>
      </c>
      <c r="B13" s="2">
        <f>(B10/(2*PI()))*(10*B9/B12)</f>
        <v>0.36860220703377317</v>
      </c>
      <c r="C13" s="2">
        <f aca="true" t="shared" si="0" ref="C13:I13">(C10/(2*PI()))*(10*C9/C12)</f>
        <v>0.37453864454988894</v>
      </c>
      <c r="D13" s="13">
        <f t="shared" si="0"/>
        <v>0.3891492895204531</v>
      </c>
      <c r="E13" s="13">
        <f t="shared" si="0"/>
        <v>0.41332384731304467</v>
      </c>
      <c r="F13" s="13">
        <f t="shared" si="0"/>
        <v>0.38783902255237085</v>
      </c>
      <c r="G13" s="13">
        <f>(G10/(2*PI()))*(10*G9/G12)</f>
        <v>0.37092045990819944</v>
      </c>
      <c r="H13" s="13">
        <f t="shared" si="0"/>
        <v>0.3599630928064191</v>
      </c>
      <c r="I13" s="13">
        <f t="shared" si="0"/>
        <v>0.35926141036430137</v>
      </c>
    </row>
    <row r="30" spans="1:6" ht="15.75">
      <c r="A30" t="s">
        <v>284</v>
      </c>
      <c r="D30" s="4" t="s">
        <v>285</v>
      </c>
      <c r="E30">
        <v>700</v>
      </c>
      <c r="F30" t="s">
        <v>2</v>
      </c>
    </row>
    <row r="31" ht="12.75">
      <c r="A31" t="s">
        <v>286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1">
      <selection activeCell="A1" sqref="A1"/>
    </sheetView>
  </sheetViews>
  <sheetFormatPr defaultColWidth="9.140625" defaultRowHeight="12.75"/>
  <cols>
    <col min="5" max="5" width="10.57421875" style="0" bestFit="1" customWidth="1"/>
  </cols>
  <sheetData>
    <row r="1" ht="12.75">
      <c r="A1" s="3" t="s">
        <v>318</v>
      </c>
    </row>
    <row r="2" spans="1:7" ht="15.75">
      <c r="A2" t="s">
        <v>51</v>
      </c>
      <c r="D2" s="4" t="s">
        <v>52</v>
      </c>
      <c r="E2" s="13">
        <v>1.4</v>
      </c>
      <c r="F2" t="s">
        <v>0</v>
      </c>
      <c r="G2" t="s">
        <v>287</v>
      </c>
    </row>
    <row r="3" spans="1:7" ht="15.75">
      <c r="A3" t="s">
        <v>54</v>
      </c>
      <c r="D3" s="4" t="s">
        <v>55</v>
      </c>
      <c r="E3">
        <f>Adatok!E10</f>
        <v>500</v>
      </c>
      <c r="F3" t="s">
        <v>2</v>
      </c>
      <c r="G3" s="9" t="s">
        <v>289</v>
      </c>
    </row>
    <row r="4" spans="1:7" ht="15.75">
      <c r="A4" t="s">
        <v>241</v>
      </c>
      <c r="C4" s="2"/>
      <c r="D4" s="4" t="s">
        <v>66</v>
      </c>
      <c r="E4">
        <f>Adatok!E8</f>
        <v>300000</v>
      </c>
      <c r="F4" t="s">
        <v>68</v>
      </c>
      <c r="G4" s="6"/>
    </row>
    <row r="5" spans="1:7" ht="15.75">
      <c r="A5" s="6" t="s">
        <v>71</v>
      </c>
      <c r="D5" s="4" t="s">
        <v>61</v>
      </c>
      <c r="E5">
        <f>E4*Adatok!E33</f>
        <v>291000</v>
      </c>
      <c r="F5" s="9" t="s">
        <v>62</v>
      </c>
      <c r="G5" t="s">
        <v>72</v>
      </c>
    </row>
    <row r="6" spans="1:7" ht="15.75">
      <c r="A6" s="6" t="s">
        <v>290</v>
      </c>
      <c r="D6" s="4" t="s">
        <v>56</v>
      </c>
      <c r="E6" s="14">
        <f>E5*60/(2*PI()*Adatok!E10)</f>
        <v>5557.690612768985</v>
      </c>
      <c r="F6" t="s">
        <v>57</v>
      </c>
      <c r="G6" t="s">
        <v>73</v>
      </c>
    </row>
    <row r="7" spans="1:7" ht="15.75">
      <c r="A7" t="s">
        <v>32</v>
      </c>
      <c r="D7" s="4" t="s">
        <v>34</v>
      </c>
      <c r="E7" s="5">
        <f>Adatok!E16*(1-Adatok!E24)*60*(1+Adatok!E35)/(E3*E2)</f>
        <v>0.19428571428571428</v>
      </c>
      <c r="G7" t="s">
        <v>33</v>
      </c>
    </row>
    <row r="8" spans="1:7" ht="15.75">
      <c r="A8" s="6" t="s">
        <v>58</v>
      </c>
      <c r="D8" s="4" t="s">
        <v>75</v>
      </c>
      <c r="E8" s="14">
        <f>E6*Adatok!E31</f>
        <v>5613.267518896675</v>
      </c>
      <c r="F8" t="s">
        <v>57</v>
      </c>
      <c r="G8" t="s">
        <v>76</v>
      </c>
    </row>
    <row r="9" spans="1:7" ht="15.75">
      <c r="A9" s="36" t="s">
        <v>300</v>
      </c>
      <c r="D9" s="4" t="s">
        <v>296</v>
      </c>
      <c r="E9" s="5">
        <f>E8*POWER(60*(1+Adatok!E35),2)/(Adatok!E14*POWER(Adatok!E10,2)*POWER(E2,5))</f>
        <v>0.0156364585410665</v>
      </c>
      <c r="G9" t="s">
        <v>291</v>
      </c>
    </row>
    <row r="10" spans="1:7" ht="15.75">
      <c r="A10" s="22" t="s">
        <v>301</v>
      </c>
      <c r="D10" s="4" t="s">
        <v>302</v>
      </c>
      <c r="E10" s="13">
        <v>0.62</v>
      </c>
      <c r="G10" t="s">
        <v>100</v>
      </c>
    </row>
    <row r="11" spans="1:7" ht="15.75">
      <c r="A11" s="36" t="s">
        <v>295</v>
      </c>
      <c r="D11" s="4" t="s">
        <v>297</v>
      </c>
      <c r="E11" s="5">
        <v>0.016</v>
      </c>
      <c r="G11" t="s">
        <v>100</v>
      </c>
    </row>
    <row r="12" spans="1:5" ht="12.75">
      <c r="A12" s="9" t="s">
        <v>337</v>
      </c>
      <c r="D12" s="4" t="s">
        <v>338</v>
      </c>
      <c r="E12" s="13">
        <f>Adatok!G7</f>
        <v>0.65</v>
      </c>
    </row>
    <row r="13" spans="1:9" ht="15.75">
      <c r="A13" s="6" t="s">
        <v>339</v>
      </c>
      <c r="D13" s="4" t="s">
        <v>67</v>
      </c>
      <c r="E13" s="5">
        <f>Adatok!G7*E9+(1-Adatok!G7)*E11</f>
        <v>0.015763698051693226</v>
      </c>
      <c r="G13" s="36" t="s">
        <v>298</v>
      </c>
      <c r="I13" t="s">
        <v>299</v>
      </c>
    </row>
    <row r="14" spans="1:7" ht="15.75">
      <c r="A14" s="36" t="s">
        <v>303</v>
      </c>
      <c r="D14" s="4" t="s">
        <v>327</v>
      </c>
      <c r="E14" s="13">
        <v>0.617</v>
      </c>
      <c r="G14" s="36" t="s">
        <v>69</v>
      </c>
    </row>
    <row r="15" spans="1:7" ht="15.75">
      <c r="A15" s="37" t="s">
        <v>328</v>
      </c>
      <c r="D15" s="4" t="s">
        <v>296</v>
      </c>
      <c r="E15" s="5">
        <v>0.0153</v>
      </c>
      <c r="G15" t="s">
        <v>100</v>
      </c>
    </row>
    <row r="16" spans="1:7" ht="15.75">
      <c r="A16" s="36" t="s">
        <v>329</v>
      </c>
      <c r="D16" s="4" t="s">
        <v>297</v>
      </c>
      <c r="E16" s="5">
        <v>0.0158</v>
      </c>
      <c r="G16" t="s">
        <v>100</v>
      </c>
    </row>
    <row r="17" spans="1:9" ht="15.75">
      <c r="A17" s="6" t="s">
        <v>340</v>
      </c>
      <c r="D17" s="4" t="s">
        <v>67</v>
      </c>
      <c r="E17" s="5">
        <f>E12*E15+(1-E12)*E16</f>
        <v>0.015475000000000001</v>
      </c>
      <c r="G17" s="36" t="s">
        <v>298</v>
      </c>
      <c r="I17" t="s">
        <v>304</v>
      </c>
    </row>
    <row r="18" spans="1:7" ht="15.75">
      <c r="A18" s="9" t="s">
        <v>330</v>
      </c>
      <c r="D18" s="4" t="s">
        <v>24</v>
      </c>
      <c r="E18" s="13">
        <v>0.175</v>
      </c>
      <c r="G18" t="s">
        <v>100</v>
      </c>
    </row>
    <row r="19" spans="3:7" ht="15.75">
      <c r="C19" t="s">
        <v>307</v>
      </c>
      <c r="D19" s="4" t="s">
        <v>292</v>
      </c>
      <c r="E19" s="13">
        <v>0.06</v>
      </c>
      <c r="G19" t="s">
        <v>100</v>
      </c>
    </row>
    <row r="20" spans="3:7" ht="15.75">
      <c r="C20" t="s">
        <v>308</v>
      </c>
      <c r="D20" s="4" t="s">
        <v>305</v>
      </c>
      <c r="E20" s="5">
        <v>0.27</v>
      </c>
      <c r="G20" t="s">
        <v>100</v>
      </c>
    </row>
    <row r="21" spans="1:7" ht="15.75">
      <c r="A21" s="6" t="s">
        <v>341</v>
      </c>
      <c r="D21" s="4" t="s">
        <v>331</v>
      </c>
      <c r="E21" s="5">
        <f>E12*E18+(1-E12)*E20</f>
        <v>0.20825</v>
      </c>
      <c r="G21" s="36" t="s">
        <v>306</v>
      </c>
    </row>
    <row r="22" spans="1:7" ht="15.75">
      <c r="A22" s="6" t="s">
        <v>342</v>
      </c>
      <c r="D22" s="4" t="s">
        <v>332</v>
      </c>
      <c r="E22" s="5">
        <f>Adatok!G7*E19</f>
        <v>0.039</v>
      </c>
      <c r="G22" s="6" t="s">
        <v>309</v>
      </c>
    </row>
    <row r="23" spans="1:7" ht="15.75">
      <c r="A23" s="6" t="s">
        <v>310</v>
      </c>
      <c r="D23" s="4" t="s">
        <v>311</v>
      </c>
      <c r="E23" s="14">
        <f>(E21-E22)*Adatok!E14*POWER(E3/(60*(1+Adatok!E35)),2)*POWER(E2,4)</f>
        <v>43398.82630612155</v>
      </c>
      <c r="F23" t="s">
        <v>20</v>
      </c>
      <c r="G23" s="6" t="s">
        <v>333</v>
      </c>
    </row>
    <row r="24" spans="1:7" ht="15.75">
      <c r="A24" s="6" t="s">
        <v>312</v>
      </c>
      <c r="D24" s="4" t="s">
        <v>313</v>
      </c>
      <c r="E24" s="14">
        <f>E21*Adatok!E14*POWER(E3/(60*(1+Adatok!E35)),2)*POWER(E2,4)</f>
        <v>53399.146695715295</v>
      </c>
      <c r="F24" t="s">
        <v>20</v>
      </c>
      <c r="G24" s="6" t="s">
        <v>334</v>
      </c>
    </row>
    <row r="25" spans="1:7" ht="15.75">
      <c r="A25" s="6" t="s">
        <v>314</v>
      </c>
      <c r="D25" s="8" t="s">
        <v>315</v>
      </c>
      <c r="E25" s="13">
        <f>(E7/(2*PI()))*(E21/E17)</f>
        <v>0.41611689806126556</v>
      </c>
      <c r="G25" s="6" t="s">
        <v>335</v>
      </c>
    </row>
    <row r="26" spans="1:7" ht="15.75">
      <c r="A26" t="s">
        <v>316</v>
      </c>
      <c r="D26" s="4" t="s">
        <v>53</v>
      </c>
      <c r="E26" s="19">
        <f>E14*E2</f>
        <v>0.8637999999999999</v>
      </c>
      <c r="F26" t="s">
        <v>0</v>
      </c>
      <c r="G26" t="s">
        <v>336</v>
      </c>
    </row>
    <row r="27" spans="1:7" ht="15.75">
      <c r="A27" t="s">
        <v>49</v>
      </c>
      <c r="D27" s="4" t="s">
        <v>50</v>
      </c>
      <c r="E27">
        <v>0.55</v>
      </c>
      <c r="G27" t="s">
        <v>317</v>
      </c>
    </row>
    <row r="28" spans="4:11" ht="12.75">
      <c r="D28" s="4"/>
      <c r="K28" s="13"/>
    </row>
    <row r="29" spans="1:4" ht="13.5" customHeight="1">
      <c r="A29" s="12"/>
      <c r="D29" s="4"/>
    </row>
    <row r="30" ht="12.75">
      <c r="A30" s="9"/>
    </row>
    <row r="32" spans="6:9" ht="12.75">
      <c r="F32" s="6"/>
      <c r="G32" s="6"/>
      <c r="H32" s="6"/>
      <c r="I32" s="6"/>
    </row>
    <row r="33" spans="4:9" ht="12.75">
      <c r="D33" s="14"/>
      <c r="E33" s="14"/>
      <c r="F33" s="15"/>
      <c r="G33" s="14"/>
      <c r="H33" s="14"/>
      <c r="I33" s="14"/>
    </row>
    <row r="34" spans="2:9" ht="12.75">
      <c r="B34" s="4"/>
      <c r="D34" s="14"/>
      <c r="E34" s="14"/>
      <c r="F34" s="14"/>
      <c r="G34" s="14"/>
      <c r="H34" s="14"/>
      <c r="I34" s="14"/>
    </row>
    <row r="35" spans="2:9" ht="12.75">
      <c r="B35" s="4"/>
      <c r="F35" s="6"/>
      <c r="G35" s="6"/>
      <c r="H35" s="6"/>
      <c r="I35" s="6"/>
    </row>
    <row r="36" spans="4:7" ht="12.75">
      <c r="D36" s="4"/>
      <c r="G36" s="6"/>
    </row>
    <row r="37" spans="4:7" ht="12.75">
      <c r="D37" s="4"/>
      <c r="G37" s="6"/>
    </row>
    <row r="38" spans="4:7" ht="12.75">
      <c r="D38" s="4"/>
      <c r="G38" s="6"/>
    </row>
    <row r="39" spans="4:7" ht="12.75">
      <c r="D39" s="4"/>
      <c r="G39" s="6"/>
    </row>
    <row r="40" spans="4:7" ht="12.75">
      <c r="D40" s="4"/>
      <c r="G40" s="6"/>
    </row>
    <row r="41" spans="4:7" ht="12.75">
      <c r="D41" s="4"/>
      <c r="G41" s="6"/>
    </row>
    <row r="42" spans="4:7" ht="12.75">
      <c r="D42" s="4"/>
      <c r="G42" s="6"/>
    </row>
    <row r="43" spans="4:7" ht="12.75">
      <c r="D43" s="4"/>
      <c r="G43" s="6"/>
    </row>
    <row r="44" spans="4:7" ht="12.75">
      <c r="D44" s="4"/>
      <c r="G44" s="6"/>
    </row>
    <row r="45" spans="4:7" ht="12.75">
      <c r="D45" s="4"/>
      <c r="G45" s="6"/>
    </row>
    <row r="46" spans="4:7" ht="12.75">
      <c r="D46" s="4"/>
      <c r="G46" s="6"/>
    </row>
    <row r="47" spans="4:7" ht="12.75">
      <c r="D47" s="4"/>
      <c r="G47" s="6"/>
    </row>
    <row r="48" spans="4:7" ht="12.75">
      <c r="D48" s="4"/>
      <c r="G48" s="6"/>
    </row>
    <row r="49" spans="4:7" ht="12.75">
      <c r="D49" s="4"/>
      <c r="G49" s="6"/>
    </row>
    <row r="50" spans="4:7" ht="12.75">
      <c r="D50" s="4"/>
      <c r="G50" s="6"/>
    </row>
    <row r="51" spans="4:7" ht="12.75">
      <c r="D51" s="4"/>
      <c r="G51" s="6"/>
    </row>
    <row r="52" spans="4:7" ht="12.75">
      <c r="D52" s="4"/>
      <c r="G52" s="6"/>
    </row>
    <row r="53" spans="4:7" ht="12.75">
      <c r="D53" s="4"/>
      <c r="G53" s="6"/>
    </row>
    <row r="54" spans="1:4" ht="12.75">
      <c r="A54" s="9"/>
      <c r="D54" s="4"/>
    </row>
    <row r="55" spans="4:5" ht="12.75">
      <c r="D55" s="4"/>
      <c r="E55" s="13"/>
    </row>
    <row r="56" ht="12.75">
      <c r="D56" s="4"/>
    </row>
    <row r="57" spans="4:5" ht="12.75">
      <c r="D57" s="4"/>
      <c r="E57" s="13"/>
    </row>
    <row r="58" spans="4:6" ht="12.75">
      <c r="D58" s="4"/>
      <c r="E58" s="14"/>
      <c r="F58" s="9"/>
    </row>
    <row r="59" ht="12.75">
      <c r="D59" s="4"/>
    </row>
    <row r="60" spans="4:6" ht="12.75">
      <c r="D60" s="4"/>
      <c r="E60" s="14"/>
      <c r="F60" s="9"/>
    </row>
    <row r="61" ht="12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A1" sqref="A1"/>
    </sheetView>
  </sheetViews>
  <sheetFormatPr defaultColWidth="9.140625" defaultRowHeight="12.75"/>
  <cols>
    <col min="2" max="2" width="9.57421875" style="0" bestFit="1" customWidth="1"/>
  </cols>
  <sheetData>
    <row r="1" ht="12.75">
      <c r="A1" s="3" t="s">
        <v>319</v>
      </c>
    </row>
    <row r="2" spans="1:6" ht="12.75">
      <c r="A2" s="6" t="s">
        <v>87</v>
      </c>
      <c r="D2" s="4" t="s">
        <v>88</v>
      </c>
      <c r="E2" s="13">
        <f>'optimális csavar jellemzői'!E2</f>
        <v>1.4</v>
      </c>
      <c r="F2" t="s">
        <v>0</v>
      </c>
    </row>
    <row r="3" spans="1:6" ht="12.75">
      <c r="A3" s="6" t="s">
        <v>46</v>
      </c>
      <c r="D3" s="4" t="s">
        <v>47</v>
      </c>
      <c r="E3" s="13">
        <f>Adatok!C4-Adatok!C7</f>
        <v>0.8999999999999999</v>
      </c>
      <c r="F3" t="s">
        <v>0</v>
      </c>
    </row>
    <row r="4" spans="1:7" ht="15.75">
      <c r="A4" s="22" t="s">
        <v>322</v>
      </c>
      <c r="D4" s="4" t="s">
        <v>323</v>
      </c>
      <c r="E4">
        <f>100000+E3*Adatok!E14*9.806</f>
        <v>108825.4</v>
      </c>
      <c r="F4" t="s">
        <v>48</v>
      </c>
      <c r="G4" t="s">
        <v>324</v>
      </c>
    </row>
    <row r="5" spans="1:6" ht="15.75">
      <c r="A5" t="s">
        <v>347</v>
      </c>
      <c r="D5" s="4" t="s">
        <v>45</v>
      </c>
      <c r="E5">
        <v>2333</v>
      </c>
      <c r="F5" t="s">
        <v>48</v>
      </c>
    </row>
    <row r="6" spans="1:7" ht="15.75">
      <c r="A6" t="s">
        <v>320</v>
      </c>
      <c r="D6" s="8" t="s">
        <v>321</v>
      </c>
      <c r="E6" s="7">
        <f>0.1*(E4-E5-0.4*E2*Adatok!E14*9.806)/(POWER('optimális csavar jellemzői'!E3/(60*(1+Adatok!E35)),2)*POWER(E2,2)*(POWER('optimális csavar jellemzői'!E14,2)+POWER(PI(),2)))</f>
        <v>7.5317572346698</v>
      </c>
      <c r="G6" t="s">
        <v>325</v>
      </c>
    </row>
    <row r="7" spans="1:7" ht="15.75">
      <c r="A7" s="9" t="s">
        <v>326</v>
      </c>
      <c r="D7" s="4" t="s">
        <v>238</v>
      </c>
      <c r="E7" s="38">
        <f>'optimális csavar jellemzői'!E5/(9.806*75*POWER('optimális csavar jellemzői'!E3/(60*(1+Adatok!E35)),3)*POWER(E2,5)*'optimális csavar jellemzői'!E27*(POWER('optimális csavar jellemzői'!E14,2)+POWER(PI(),2)))</f>
        <v>0.02393012270657495</v>
      </c>
      <c r="G7" t="s">
        <v>343</v>
      </c>
    </row>
    <row r="8" spans="1:4" ht="12.75">
      <c r="A8" t="s">
        <v>348</v>
      </c>
      <c r="D8" s="4"/>
    </row>
    <row r="9" spans="1:7" ht="15.75">
      <c r="A9" t="s">
        <v>344</v>
      </c>
      <c r="D9" s="4" t="s">
        <v>345</v>
      </c>
      <c r="E9" s="13">
        <f>245*'optimális csavar jellemzői'!E5/(75*9.806*'optimális csavar jellemzői'!E3/(60*(1+Adatok!E35))*POWER(E2,3)*(0.1*(E4-E5-0.4*E2*Adatok!E14*9.806)))</f>
        <v>0.42813170077598023</v>
      </c>
      <c r="G9" t="s">
        <v>346</v>
      </c>
    </row>
    <row r="10" ht="12.75">
      <c r="A10" t="s">
        <v>349</v>
      </c>
    </row>
    <row r="12" spans="1:12" ht="12.75">
      <c r="A12" s="3" t="s">
        <v>203</v>
      </c>
      <c r="L12" s="7"/>
    </row>
    <row r="13" ht="12.75">
      <c r="A13" t="s">
        <v>182</v>
      </c>
    </row>
    <row r="14" ht="15.75">
      <c r="A14" t="s">
        <v>208</v>
      </c>
    </row>
    <row r="15" spans="1:2" ht="15.75">
      <c r="A15" t="s">
        <v>180</v>
      </c>
      <c r="B15" t="s">
        <v>184</v>
      </c>
    </row>
    <row r="16" ht="12.75">
      <c r="B16" t="s">
        <v>181</v>
      </c>
    </row>
    <row r="17" ht="12.75">
      <c r="B17" t="s">
        <v>195</v>
      </c>
    </row>
    <row r="18" ht="15.75">
      <c r="B18" t="s">
        <v>185</v>
      </c>
    </row>
    <row r="19" ht="15.75">
      <c r="B19" t="s">
        <v>196</v>
      </c>
    </row>
    <row r="20" ht="12.75">
      <c r="B20" t="s">
        <v>183</v>
      </c>
    </row>
    <row r="21" ht="15.75">
      <c r="B21" t="s">
        <v>188</v>
      </c>
    </row>
    <row r="22" ht="12.75">
      <c r="B22" t="s">
        <v>189</v>
      </c>
    </row>
    <row r="23" ht="15.75">
      <c r="B23" t="s">
        <v>187</v>
      </c>
    </row>
    <row r="24" spans="2:3" ht="15.75">
      <c r="B24" t="s">
        <v>180</v>
      </c>
      <c r="C24" t="s">
        <v>186</v>
      </c>
    </row>
    <row r="25" spans="1:9" ht="12.75">
      <c r="A25" s="44" t="s">
        <v>350</v>
      </c>
      <c r="B25" s="44"/>
      <c r="C25" s="44"/>
      <c r="D25" s="44"/>
      <c r="E25" s="44"/>
      <c r="F25" s="44"/>
      <c r="G25" s="44"/>
      <c r="H25" s="44"/>
      <c r="I25" s="44"/>
    </row>
    <row r="26" spans="1:9" ht="12.75">
      <c r="A26" s="44"/>
      <c r="B26" s="44"/>
      <c r="C26" s="44"/>
      <c r="D26" s="44"/>
      <c r="E26" s="44"/>
      <c r="F26" s="44"/>
      <c r="G26" s="44"/>
      <c r="H26" s="44"/>
      <c r="I26" s="44"/>
    </row>
    <row r="27" spans="1:9" ht="15.75">
      <c r="A27" s="4" t="s">
        <v>190</v>
      </c>
      <c r="B27">
        <f>'optimális csavar jellemzői'!E5</f>
        <v>291000</v>
      </c>
      <c r="C27" s="9" t="s">
        <v>62</v>
      </c>
      <c r="D27" s="4" t="s">
        <v>191</v>
      </c>
      <c r="E27" s="7">
        <f>B27/(75*9.806)</f>
        <v>395.6761166632674</v>
      </c>
      <c r="F27" t="s">
        <v>192</v>
      </c>
      <c r="G27" s="4" t="s">
        <v>191</v>
      </c>
      <c r="H27" s="7">
        <f>E27*75/76</f>
        <v>390.46985197032967</v>
      </c>
      <c r="I27" t="s">
        <v>201</v>
      </c>
    </row>
    <row r="28" spans="1:2" ht="12.75">
      <c r="A28" s="4" t="s">
        <v>193</v>
      </c>
      <c r="B28">
        <v>4</v>
      </c>
    </row>
    <row r="29" spans="1:3" ht="12.75">
      <c r="A29" s="4" t="s">
        <v>194</v>
      </c>
      <c r="B29">
        <f>'optimális csavar jellemzői'!E3</f>
        <v>500</v>
      </c>
      <c r="C29" t="s">
        <v>2</v>
      </c>
    </row>
    <row r="30" spans="1:5" ht="15.75">
      <c r="A30" s="4" t="s">
        <v>197</v>
      </c>
      <c r="B30" s="4" t="s">
        <v>198</v>
      </c>
      <c r="C30" s="14">
        <f>1.853*B29*E2/(0.3048*Adatok!E15*(1-Adatok!E24))</f>
        <v>531.9471784776903</v>
      </c>
      <c r="E30" t="s">
        <v>352</v>
      </c>
    </row>
    <row r="31" spans="1:8" ht="15.75">
      <c r="A31" s="4" t="s">
        <v>199</v>
      </c>
      <c r="B31" s="9" t="s">
        <v>200</v>
      </c>
      <c r="C31" s="14">
        <f>B29*POWER(H27,0.5)/POWER((Adatok!E15*(1-Adatok!E24)/1.853),2.5)</f>
        <v>255.10991558583203</v>
      </c>
      <c r="E31" s="4" t="s">
        <v>315</v>
      </c>
      <c r="F31" s="13">
        <f>'optimális csavar jellemzői'!E25</f>
        <v>0.41611689806126556</v>
      </c>
      <c r="H31" s="9" t="s">
        <v>351</v>
      </c>
    </row>
    <row r="32" spans="1:12" ht="12.75">
      <c r="A32" s="4" t="s">
        <v>19</v>
      </c>
      <c r="B32" s="7">
        <f>0.1*'csavar rajza'!C59</f>
        <v>7</v>
      </c>
      <c r="C32" t="s">
        <v>202</v>
      </c>
      <c r="L32">
        <f>1/(1980/51.2)</f>
        <v>0.02585858585858586</v>
      </c>
    </row>
    <row r="33" spans="1:3" ht="12.75">
      <c r="A33" s="4" t="s">
        <v>23</v>
      </c>
      <c r="B33" s="5">
        <f>0.001*'csavar rajza'!F28</f>
        <v>0.19803565447272725</v>
      </c>
      <c r="C33" t="s">
        <v>0</v>
      </c>
    </row>
    <row r="34" spans="1:4" ht="15.75">
      <c r="A34" s="4" t="s">
        <v>204</v>
      </c>
      <c r="B34">
        <v>8.14</v>
      </c>
      <c r="D34" t="s">
        <v>361</v>
      </c>
    </row>
    <row r="35" spans="1:4" ht="12.75">
      <c r="A35" s="4" t="s">
        <v>205</v>
      </c>
      <c r="B35">
        <v>1</v>
      </c>
      <c r="D35" t="s">
        <v>206</v>
      </c>
    </row>
    <row r="36" spans="1:2" ht="15.75">
      <c r="A36" s="4" t="s">
        <v>207</v>
      </c>
      <c r="B36" s="7">
        <f>66.7*'optimális csavar jellemzői'!E14</f>
        <v>41.1539</v>
      </c>
    </row>
    <row r="37" spans="1:7" ht="15.75">
      <c r="A37" s="4" t="s">
        <v>209</v>
      </c>
      <c r="B37" s="7">
        <f>(E27/(B28*B29))*(1/0.0975)*(B34*(B36+(C30*F31))/(POWER(B32,2)*B33))*B35</f>
        <v>446.8168868040867</v>
      </c>
      <c r="C37" t="s">
        <v>210</v>
      </c>
      <c r="E37" s="4" t="s">
        <v>211</v>
      </c>
      <c r="F37" s="7">
        <f>(E27/(B28*B29))*(1/0.085)*(B34*(B36+(C30*F31))/(POWER(B32,2)*B33))*B35</f>
        <v>512.52525251057</v>
      </c>
      <c r="G37" t="s">
        <v>210</v>
      </c>
    </row>
    <row r="38" ht="12.75">
      <c r="A38" t="s">
        <v>212</v>
      </c>
    </row>
    <row r="39" ht="15.75">
      <c r="A39" t="s">
        <v>213</v>
      </c>
    </row>
    <row r="40" ht="15.75">
      <c r="A40" t="s">
        <v>214</v>
      </c>
    </row>
    <row r="41" spans="1:4" ht="12.75">
      <c r="A41" t="s">
        <v>180</v>
      </c>
      <c r="B41" t="s">
        <v>215</v>
      </c>
      <c r="C41" s="4" t="s">
        <v>191</v>
      </c>
      <c r="D41">
        <f>B29/100</f>
        <v>5</v>
      </c>
    </row>
    <row r="42" ht="12.75">
      <c r="B42" t="s">
        <v>216</v>
      </c>
    </row>
    <row r="43" ht="15.75">
      <c r="B43" t="s">
        <v>217</v>
      </c>
    </row>
    <row r="44" ht="15.75">
      <c r="B44" t="s">
        <v>218</v>
      </c>
    </row>
    <row r="45" spans="1:4" ht="15.75">
      <c r="A45" s="4" t="s">
        <v>219</v>
      </c>
      <c r="B45">
        <v>0.72</v>
      </c>
      <c r="D45" t="s">
        <v>361</v>
      </c>
    </row>
    <row r="46" spans="1:4" ht="15.75">
      <c r="A46" s="4" t="s">
        <v>220</v>
      </c>
      <c r="B46">
        <v>0.08</v>
      </c>
      <c r="D46" t="s">
        <v>362</v>
      </c>
    </row>
    <row r="47" spans="1:7" ht="15.75">
      <c r="A47" s="4" t="s">
        <v>221</v>
      </c>
      <c r="B47" s="7">
        <f>POWER(D41,2)*POWER(E2,2)*((B46*B45/0.0975)+0.58)</f>
        <v>57.3676923076923</v>
      </c>
      <c r="C47" t="s">
        <v>210</v>
      </c>
      <c r="E47" s="4" t="s">
        <v>222</v>
      </c>
      <c r="F47" s="7">
        <f>POWER(D41,2)*POWER(E2,2)*((B46*B45/0.085)-0.58)</f>
        <v>4.784705882352941</v>
      </c>
      <c r="G47" t="s">
        <v>210</v>
      </c>
    </row>
    <row r="48" spans="1:7" ht="15.75">
      <c r="A48" s="4" t="s">
        <v>223</v>
      </c>
      <c r="B48" s="7">
        <f>B37+B47</f>
        <v>504.18457911177904</v>
      </c>
      <c r="C48" t="s">
        <v>210</v>
      </c>
      <c r="E48" s="4" t="s">
        <v>224</v>
      </c>
      <c r="F48" s="7">
        <f>F37+F47</f>
        <v>517.3099583929229</v>
      </c>
      <c r="G48" t="s">
        <v>210</v>
      </c>
    </row>
    <row r="49" ht="15.75">
      <c r="A49" s="20" t="s">
        <v>363</v>
      </c>
    </row>
    <row r="50" ht="15.75">
      <c r="A50" s="16" t="s">
        <v>364</v>
      </c>
    </row>
    <row r="51" ht="12.75">
      <c r="A51" s="16" t="s">
        <v>365</v>
      </c>
    </row>
    <row r="52" ht="12.75">
      <c r="A52" s="3" t="s">
        <v>225</v>
      </c>
    </row>
    <row r="53" spans="1:3" ht="12.75">
      <c r="A53" s="4" t="s">
        <v>19</v>
      </c>
      <c r="B53">
        <f>0.1*'csavar rajza'!C63</f>
        <v>5.800000000000001</v>
      </c>
      <c r="C53" t="s">
        <v>202</v>
      </c>
    </row>
    <row r="54" spans="1:3" ht="12.75">
      <c r="A54" s="4" t="s">
        <v>23</v>
      </c>
      <c r="B54" s="5">
        <f>0.001*'csavar rajza'!F20</f>
        <v>0.2949153454545454</v>
      </c>
      <c r="C54" t="s">
        <v>0</v>
      </c>
    </row>
    <row r="55" spans="1:7" ht="15.75">
      <c r="A55" s="4" t="s">
        <v>209</v>
      </c>
      <c r="B55">
        <f>(E27/(B28*B29))*(1/0.0975)*(B34*(B36+(C30*F31))/(POWER(B53,2)*B54))*B35</f>
        <v>437.0344659618985</v>
      </c>
      <c r="C55" t="s">
        <v>210</v>
      </c>
      <c r="E55" s="4" t="s">
        <v>211</v>
      </c>
      <c r="F55">
        <f>(E27/(B28*B29))*(1/0.085)*(B34*(B36+(C30*F31))/(POWER(B53,2)*B54))*B35</f>
        <v>501.30424036805994</v>
      </c>
      <c r="G55" t="s">
        <v>210</v>
      </c>
    </row>
    <row r="56" spans="1:4" ht="15.75">
      <c r="A56" s="4" t="s">
        <v>220</v>
      </c>
      <c r="B56">
        <v>0.09</v>
      </c>
      <c r="D56" t="s">
        <v>226</v>
      </c>
    </row>
    <row r="57" spans="1:7" ht="15.75">
      <c r="A57" s="4" t="s">
        <v>221</v>
      </c>
      <c r="B57" s="7">
        <f>POWER(D41,2)*POWER(E2,2)*((B56*B45/0.0975)+0.58)</f>
        <v>60.98615384615383</v>
      </c>
      <c r="C57" t="s">
        <v>210</v>
      </c>
      <c r="E57" s="4" t="s">
        <v>222</v>
      </c>
      <c r="F57" s="7">
        <f>POWER(D41,2)*POWER(E2,2)*((B56*B45/0.085)-0.58)</f>
        <v>8.935294117647054</v>
      </c>
      <c r="G57" t="s">
        <v>210</v>
      </c>
    </row>
    <row r="58" spans="1:7" ht="15.75">
      <c r="A58" s="4" t="s">
        <v>223</v>
      </c>
      <c r="B58" s="7">
        <f>B55+B57</f>
        <v>498.02061980805234</v>
      </c>
      <c r="C58" t="s">
        <v>210</v>
      </c>
      <c r="E58" s="4" t="s">
        <v>224</v>
      </c>
      <c r="F58" s="7">
        <f>F55+F57</f>
        <v>510.239534485707</v>
      </c>
      <c r="G58" t="s">
        <v>210</v>
      </c>
    </row>
    <row r="59" ht="12.75">
      <c r="A59" s="16" t="s">
        <v>366</v>
      </c>
    </row>
  </sheetData>
  <mergeCells count="1">
    <mergeCell ref="A25:I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37"/>
  <sheetViews>
    <sheetView workbookViewId="0" topLeftCell="A1">
      <selection activeCell="A1" sqref="A1"/>
    </sheetView>
  </sheetViews>
  <sheetFormatPr defaultColWidth="9.140625" defaultRowHeight="12.75"/>
  <cols>
    <col min="6" max="6" width="9.57421875" style="0" bestFit="1" customWidth="1"/>
  </cols>
  <sheetData>
    <row r="1" ht="12.75">
      <c r="A1" s="3" t="s">
        <v>120</v>
      </c>
    </row>
    <row r="2" ht="12.75">
      <c r="A2" s="6" t="s">
        <v>353</v>
      </c>
    </row>
    <row r="3" spans="1:8" ht="15.75">
      <c r="A3" s="6" t="s">
        <v>356</v>
      </c>
      <c r="D3" s="20">
        <v>0.55</v>
      </c>
      <c r="E3" t="s">
        <v>358</v>
      </c>
      <c r="F3" s="19"/>
      <c r="G3" s="4" t="s">
        <v>354</v>
      </c>
      <c r="H3" s="16" t="s">
        <v>355</v>
      </c>
    </row>
    <row r="4" spans="1:9" ht="15.75">
      <c r="A4" s="6" t="s">
        <v>356</v>
      </c>
      <c r="D4" s="2">
        <f>'kavitáció és szilárdság'!E9</f>
        <v>0.42813170077598023</v>
      </c>
      <c r="E4" t="s">
        <v>358</v>
      </c>
      <c r="F4" s="19"/>
      <c r="G4" s="4" t="s">
        <v>357</v>
      </c>
      <c r="H4" s="19">
        <f>0.2707*0.428*'kavitáció és szilárdság'!E2/D3</f>
        <v>0.2949153454545454</v>
      </c>
      <c r="I4" t="s">
        <v>0</v>
      </c>
    </row>
    <row r="5" spans="1:6" ht="12.75">
      <c r="A5" s="3"/>
      <c r="D5" s="16"/>
      <c r="F5" s="19"/>
    </row>
    <row r="6" ht="12.75">
      <c r="A6" s="6" t="s">
        <v>118</v>
      </c>
    </row>
    <row r="7" spans="1:9" ht="15.75">
      <c r="A7" s="4" t="s">
        <v>101</v>
      </c>
      <c r="B7" s="17" t="s">
        <v>102</v>
      </c>
      <c r="C7" s="17"/>
      <c r="D7" s="17"/>
      <c r="E7" s="17"/>
      <c r="F7" s="17" t="s">
        <v>119</v>
      </c>
      <c r="G7" s="17"/>
      <c r="H7" s="17"/>
      <c r="I7" s="17"/>
    </row>
    <row r="8" spans="1:10" ht="12.75">
      <c r="A8" s="4"/>
      <c r="B8" s="4" t="s">
        <v>106</v>
      </c>
      <c r="C8" s="4" t="s">
        <v>103</v>
      </c>
      <c r="D8" s="4" t="s">
        <v>103</v>
      </c>
      <c r="E8" s="4" t="s">
        <v>111</v>
      </c>
      <c r="F8" s="4" t="s">
        <v>106</v>
      </c>
      <c r="G8" s="4" t="s">
        <v>103</v>
      </c>
      <c r="H8" s="4" t="s">
        <v>103</v>
      </c>
      <c r="I8" s="4" t="s">
        <v>111</v>
      </c>
      <c r="J8" s="4" t="s">
        <v>111</v>
      </c>
    </row>
    <row r="9" spans="1:10" ht="12.75">
      <c r="A9" s="4"/>
      <c r="B9" s="4" t="s">
        <v>107</v>
      </c>
      <c r="C9" s="4" t="s">
        <v>104</v>
      </c>
      <c r="D9" s="4" t="s">
        <v>105</v>
      </c>
      <c r="E9" s="4" t="s">
        <v>112</v>
      </c>
      <c r="F9" s="4" t="s">
        <v>107</v>
      </c>
      <c r="G9" s="4" t="s">
        <v>104</v>
      </c>
      <c r="H9" s="4" t="s">
        <v>105</v>
      </c>
      <c r="I9" s="4" t="s">
        <v>133</v>
      </c>
      <c r="J9" s="4" t="s">
        <v>112</v>
      </c>
    </row>
    <row r="10" spans="1:10" ht="12.75">
      <c r="A10" s="4"/>
      <c r="E10" t="s">
        <v>113</v>
      </c>
      <c r="I10" t="s">
        <v>103</v>
      </c>
      <c r="J10" t="s">
        <v>113</v>
      </c>
    </row>
    <row r="11" spans="1:10" ht="15.75">
      <c r="A11" s="4"/>
      <c r="B11" s="4" t="s">
        <v>114</v>
      </c>
      <c r="C11" s="4" t="s">
        <v>115</v>
      </c>
      <c r="D11" s="4" t="s">
        <v>116</v>
      </c>
      <c r="E11" s="4" t="s">
        <v>117</v>
      </c>
      <c r="F11" s="4" t="s">
        <v>109</v>
      </c>
      <c r="G11" s="4" t="s">
        <v>108</v>
      </c>
      <c r="H11" s="4" t="s">
        <v>110</v>
      </c>
      <c r="I11" s="4" t="s">
        <v>135</v>
      </c>
      <c r="J11" s="4" t="s">
        <v>134</v>
      </c>
    </row>
    <row r="12" spans="1:10" ht="12.75">
      <c r="A12" s="4">
        <v>1</v>
      </c>
      <c r="B12" s="7">
        <v>112.8</v>
      </c>
      <c r="C12" s="7">
        <v>56.44</v>
      </c>
      <c r="D12" s="7">
        <v>56.44</v>
      </c>
      <c r="E12" s="7">
        <v>56.44</v>
      </c>
      <c r="F12" s="7">
        <f>B12*F20/100</f>
        <v>332.6645096727272</v>
      </c>
      <c r="G12" s="7">
        <f>-C12*F20/100</f>
        <v>-166.4502209745454</v>
      </c>
      <c r="H12" s="7">
        <f>D12*F20/100</f>
        <v>166.4502209745454</v>
      </c>
      <c r="I12" s="7">
        <f aca="true" t="shared" si="0" ref="I12:I28">H12-(E12*F12/100)</f>
        <v>-21.30562828474183</v>
      </c>
      <c r="J12" s="7">
        <f aca="true" t="shared" si="1" ref="J12:J28">(E12*F12/100)</f>
        <v>187.75584925928723</v>
      </c>
    </row>
    <row r="13" spans="1:10" ht="12.75">
      <c r="A13" s="4">
        <v>0.95</v>
      </c>
      <c r="B13" s="7">
        <f>0.5*(B12+B14)</f>
        <v>112.72999999999999</v>
      </c>
      <c r="C13" s="7">
        <f>0.5*(C12+C14)</f>
        <v>56.385</v>
      </c>
      <c r="D13" s="7">
        <f>0.5*(D12+D14)</f>
        <v>56.385</v>
      </c>
      <c r="E13" s="7">
        <f>0.5*(E12+E14)</f>
        <v>56.385</v>
      </c>
      <c r="F13" s="7">
        <f>B13*F20/100</f>
        <v>332.458068930909</v>
      </c>
      <c r="G13" s="7">
        <f>-C13*F20/100</f>
        <v>-166.2880175345454</v>
      </c>
      <c r="H13" s="7">
        <f>D13*F20/100</f>
        <v>166.2880175345454</v>
      </c>
      <c r="I13" s="7">
        <f t="shared" si="0"/>
        <v>-21.168464632147646</v>
      </c>
      <c r="J13" s="7">
        <f t="shared" si="1"/>
        <v>187.45648216669304</v>
      </c>
    </row>
    <row r="14" spans="1:10" ht="12.75">
      <c r="A14" s="4">
        <v>0.9</v>
      </c>
      <c r="B14" s="7">
        <v>112.66</v>
      </c>
      <c r="C14" s="7">
        <v>56.33</v>
      </c>
      <c r="D14" s="7">
        <v>56.33</v>
      </c>
      <c r="E14" s="7">
        <v>56.33</v>
      </c>
      <c r="F14" s="7">
        <f>B14*F20/100</f>
        <v>332.25162818909087</v>
      </c>
      <c r="G14" s="7">
        <f>-C14*F20/100</f>
        <v>-166.12581409454543</v>
      </c>
      <c r="H14" s="7">
        <f>D14*F20/100</f>
        <v>166.12581409454543</v>
      </c>
      <c r="I14" s="7">
        <f t="shared" si="0"/>
        <v>-21.03152806436944</v>
      </c>
      <c r="J14" s="7">
        <f t="shared" si="1"/>
        <v>187.15734215891487</v>
      </c>
    </row>
    <row r="15" spans="1:10" ht="12.75">
      <c r="A15" s="4">
        <v>0.85</v>
      </c>
      <c r="B15" s="7">
        <f>0.5*(B14+B16)</f>
        <v>111.37</v>
      </c>
      <c r="C15" s="7">
        <f>0.5*(C14+C16)</f>
        <v>55.685</v>
      </c>
      <c r="D15" s="7">
        <f>0.5*(D14+D16)</f>
        <v>55.685</v>
      </c>
      <c r="E15" s="7">
        <f>0.5*(E14+E16)</f>
        <v>55.685</v>
      </c>
      <c r="F15" s="7">
        <f>B15*F20/100</f>
        <v>328.4472202327272</v>
      </c>
      <c r="G15" s="7">
        <f>-C15*F20/100</f>
        <v>-164.2236101163636</v>
      </c>
      <c r="H15" s="7">
        <f>D15*F20/100</f>
        <v>164.2236101163636</v>
      </c>
      <c r="I15" s="7">
        <f t="shared" si="0"/>
        <v>-18.672224470230532</v>
      </c>
      <c r="J15" s="7">
        <f t="shared" si="1"/>
        <v>182.89583458659413</v>
      </c>
    </row>
    <row r="16" spans="1:10" ht="12.75">
      <c r="A16" s="4">
        <v>0.8</v>
      </c>
      <c r="B16" s="7">
        <v>110.08</v>
      </c>
      <c r="C16" s="7">
        <v>55.04</v>
      </c>
      <c r="D16" s="7">
        <v>55.04</v>
      </c>
      <c r="E16" s="7">
        <v>55.04</v>
      </c>
      <c r="F16" s="7">
        <f>B16*F20/100</f>
        <v>324.64281227636354</v>
      </c>
      <c r="G16" s="7">
        <f>-C16*F20/100</f>
        <v>-162.32140613818177</v>
      </c>
      <c r="H16" s="7">
        <f>D16*F20/100</f>
        <v>162.32140613818177</v>
      </c>
      <c r="I16" s="7">
        <f t="shared" si="0"/>
        <v>-16.361997738728718</v>
      </c>
      <c r="J16" s="7">
        <f t="shared" si="1"/>
        <v>178.6834038769105</v>
      </c>
    </row>
    <row r="17" spans="1:10" ht="12.75">
      <c r="A17" s="4">
        <v>0.75</v>
      </c>
      <c r="B17" s="7">
        <f>0.5*(B16+B18)</f>
        <v>107.97</v>
      </c>
      <c r="C17" s="7">
        <f>0.5*(C16+C18)</f>
        <v>53.985</v>
      </c>
      <c r="D17" s="7">
        <f>0.5*(D16+D18)</f>
        <v>53.985</v>
      </c>
      <c r="E17" s="7">
        <f>0.5*(E16+E18)</f>
        <v>53.985</v>
      </c>
      <c r="F17" s="7">
        <f>B17*F20/100</f>
        <v>318.42009848727264</v>
      </c>
      <c r="G17" s="7">
        <f>-C17*F20/100</f>
        <v>-159.21004924363632</v>
      </c>
      <c r="H17" s="7">
        <f>D17*F20/100</f>
        <v>159.21004924363632</v>
      </c>
      <c r="I17" s="7">
        <f t="shared" si="0"/>
        <v>-12.689040924717801</v>
      </c>
      <c r="J17" s="7">
        <f t="shared" si="1"/>
        <v>171.89909016835412</v>
      </c>
    </row>
    <row r="18" spans="1:10" ht="12.75">
      <c r="A18" s="4">
        <v>0.7</v>
      </c>
      <c r="B18" s="7">
        <v>105.86</v>
      </c>
      <c r="C18" s="7">
        <v>52.93</v>
      </c>
      <c r="D18" s="7">
        <v>52.93</v>
      </c>
      <c r="E18" s="7">
        <v>52.93</v>
      </c>
      <c r="F18" s="7">
        <f>B18*F20/100</f>
        <v>312.19738469818174</v>
      </c>
      <c r="G18" s="7">
        <f>-C18*F20/100</f>
        <v>-156.09869234909087</v>
      </c>
      <c r="H18" s="7">
        <f>D18*F20/100</f>
        <v>156.09869234909087</v>
      </c>
      <c r="I18" s="7">
        <f t="shared" si="0"/>
        <v>-9.147383371656701</v>
      </c>
      <c r="J18" s="7">
        <f t="shared" si="1"/>
        <v>165.24607572074757</v>
      </c>
    </row>
    <row r="19" spans="1:10" ht="12.75">
      <c r="A19" s="4">
        <v>0.65</v>
      </c>
      <c r="B19" s="7">
        <f>0.5*(B18+B20)</f>
        <v>102.93</v>
      </c>
      <c r="C19" s="7">
        <f>0.5*(C18+C20)</f>
        <v>51.4</v>
      </c>
      <c r="D19" s="7">
        <f>0.5*(D18+D20)</f>
        <v>51.53</v>
      </c>
      <c r="E19" s="7">
        <f>0.5*(E18+E20)</f>
        <v>51.455</v>
      </c>
      <c r="F19" s="7">
        <f>B19*F20/100</f>
        <v>303.5563650763636</v>
      </c>
      <c r="G19" s="7">
        <f>-C19*F20/100</f>
        <v>-151.58648756363633</v>
      </c>
      <c r="H19" s="7">
        <f>D19*F20/100</f>
        <v>151.96987751272724</v>
      </c>
      <c r="I19" s="7">
        <f t="shared" si="0"/>
        <v>-4.225050137315634</v>
      </c>
      <c r="J19" s="7">
        <f t="shared" si="1"/>
        <v>156.19492765004287</v>
      </c>
    </row>
    <row r="20" spans="1:10" ht="12.75">
      <c r="A20" s="4">
        <v>0.6</v>
      </c>
      <c r="B20" s="7">
        <v>100</v>
      </c>
      <c r="C20" s="7">
        <v>49.87</v>
      </c>
      <c r="D20" s="7">
        <v>50.13</v>
      </c>
      <c r="E20" s="7">
        <v>49.98</v>
      </c>
      <c r="F20" s="7">
        <f>1000*B20*H4/100</f>
        <v>294.9153454545454</v>
      </c>
      <c r="G20" s="7">
        <f>-C20*F20/100</f>
        <v>-147.07428277818178</v>
      </c>
      <c r="H20" s="7">
        <f>D20*F20/100</f>
        <v>147.8410626763636</v>
      </c>
      <c r="I20" s="7">
        <f t="shared" si="0"/>
        <v>0.44237301818182573</v>
      </c>
      <c r="J20" s="7">
        <f t="shared" si="1"/>
        <v>147.39868965818178</v>
      </c>
    </row>
    <row r="21" spans="1:10" ht="12.75">
      <c r="A21" s="4">
        <v>0.55</v>
      </c>
      <c r="B21" s="7">
        <f>0.5*(B20+B22)</f>
        <v>96.505</v>
      </c>
      <c r="C21" s="7">
        <f>0.5*(C20+C22)</f>
        <v>47.93</v>
      </c>
      <c r="D21" s="7">
        <f>0.5*(D20+D22)</f>
        <v>48.575</v>
      </c>
      <c r="E21" s="7">
        <f>0.5*(E20+E22)</f>
        <v>47.79</v>
      </c>
      <c r="F21" s="7">
        <f>B21*F20/100</f>
        <v>284.608054130909</v>
      </c>
      <c r="G21" s="7">
        <f>-C21*F20/100</f>
        <v>-141.35292507636362</v>
      </c>
      <c r="H21" s="7">
        <f>D21*F20/100</f>
        <v>143.25512905454542</v>
      </c>
      <c r="I21" s="7">
        <f t="shared" si="0"/>
        <v>7.240939985383989</v>
      </c>
      <c r="J21" s="7">
        <f t="shared" si="1"/>
        <v>136.01418906916143</v>
      </c>
    </row>
    <row r="22" spans="1:10" ht="12.75">
      <c r="A22" s="4">
        <v>0.5</v>
      </c>
      <c r="B22" s="7">
        <v>93.01</v>
      </c>
      <c r="C22" s="7">
        <v>45.99</v>
      </c>
      <c r="D22" s="7">
        <v>47.02</v>
      </c>
      <c r="E22" s="7">
        <v>45.6</v>
      </c>
      <c r="F22" s="7">
        <f>B22*F20/100</f>
        <v>274.3007628072727</v>
      </c>
      <c r="G22" s="7">
        <f>-C22*F20/100</f>
        <v>-135.63156737454543</v>
      </c>
      <c r="H22" s="7">
        <f>D22*F20/100</f>
        <v>138.66919543272724</v>
      </c>
      <c r="I22" s="7">
        <f t="shared" si="0"/>
        <v>13.588047592610877</v>
      </c>
      <c r="J22" s="7">
        <f t="shared" si="1"/>
        <v>125.08114784011636</v>
      </c>
    </row>
    <row r="23" spans="1:10" ht="12.75">
      <c r="A23" s="4">
        <v>0.45</v>
      </c>
      <c r="B23" s="7">
        <f>0.5*(B22+B24)</f>
        <v>89.1</v>
      </c>
      <c r="C23" s="7">
        <f>0.5*(C22+C24)</f>
        <v>43.72</v>
      </c>
      <c r="D23" s="7">
        <f>0.5*(D22+D24)</f>
        <v>45.38</v>
      </c>
      <c r="E23" s="7">
        <f>0.5*(E22+E24)</f>
        <v>42.400000000000006</v>
      </c>
      <c r="F23" s="7">
        <f>B23*F20/100</f>
        <v>262.76957279999993</v>
      </c>
      <c r="G23" s="7">
        <f>-C23*F20/100</f>
        <v>-128.93698903272724</v>
      </c>
      <c r="H23" s="7">
        <f>D23*F20/100</f>
        <v>133.8325837672727</v>
      </c>
      <c r="I23" s="7">
        <f t="shared" si="0"/>
        <v>22.418284900072706</v>
      </c>
      <c r="J23" s="7">
        <f t="shared" si="1"/>
        <v>111.41429886719999</v>
      </c>
    </row>
    <row r="24" spans="1:10" ht="12.75">
      <c r="A24" s="4">
        <v>0.4</v>
      </c>
      <c r="B24" s="7">
        <v>85.19</v>
      </c>
      <c r="C24" s="7">
        <v>41.45</v>
      </c>
      <c r="D24" s="7">
        <v>43.74</v>
      </c>
      <c r="E24" s="7">
        <v>39.2</v>
      </c>
      <c r="F24" s="7">
        <f>B24*F20/100</f>
        <v>251.2383827927272</v>
      </c>
      <c r="G24" s="7">
        <f>-C24*F20/100</f>
        <v>-122.24241069090907</v>
      </c>
      <c r="H24" s="7">
        <f>D24*F20/100</f>
        <v>128.99597210181815</v>
      </c>
      <c r="I24" s="7">
        <f t="shared" si="0"/>
        <v>30.510526047069078</v>
      </c>
      <c r="J24" s="7">
        <f t="shared" si="1"/>
        <v>98.48544605474908</v>
      </c>
    </row>
    <row r="25" spans="1:10" ht="12.75">
      <c r="A25" s="4">
        <v>0.35</v>
      </c>
      <c r="B25" s="7">
        <f>0.5*(B24+B26)</f>
        <v>80.89</v>
      </c>
      <c r="C25" s="7">
        <f>0.5*(C24+C26)</f>
        <v>38.81</v>
      </c>
      <c r="D25" s="7">
        <f>0.5*(D24+D26)</f>
        <v>42.08</v>
      </c>
      <c r="E25" s="7">
        <f>0.5*(E24+E26)</f>
        <v>34.85</v>
      </c>
      <c r="F25" s="7">
        <f>B25*F20/100</f>
        <v>238.55702293818177</v>
      </c>
      <c r="G25" s="7">
        <f>-C25*F20/100</f>
        <v>-114.45664557090907</v>
      </c>
      <c r="H25" s="7">
        <f>D25*F20/100</f>
        <v>124.10037736727269</v>
      </c>
      <c r="I25" s="7">
        <f t="shared" si="0"/>
        <v>40.96325487331633</v>
      </c>
      <c r="J25" s="7">
        <f t="shared" si="1"/>
        <v>83.13712249395635</v>
      </c>
    </row>
    <row r="26" spans="1:10" ht="12.75">
      <c r="A26" s="4">
        <v>0.3</v>
      </c>
      <c r="B26" s="7">
        <v>76.59</v>
      </c>
      <c r="C26" s="7">
        <v>36.17</v>
      </c>
      <c r="D26" s="7">
        <v>40.42</v>
      </c>
      <c r="E26" s="7">
        <v>30.5</v>
      </c>
      <c r="F26" s="7">
        <f>B26*F20/100</f>
        <v>225.8756630836363</v>
      </c>
      <c r="G26" s="7">
        <f>-C26*F20/100</f>
        <v>-106.67088045090908</v>
      </c>
      <c r="H26" s="7">
        <f>D26*F20/100</f>
        <v>119.20478263272726</v>
      </c>
      <c r="I26" s="7">
        <f t="shared" si="0"/>
        <v>50.31270539221818</v>
      </c>
      <c r="J26" s="7">
        <f t="shared" si="1"/>
        <v>68.89207724050908</v>
      </c>
    </row>
    <row r="27" spans="1:10" ht="12.75">
      <c r="A27" s="4">
        <v>0.25</v>
      </c>
      <c r="B27" s="7">
        <f>0.5*(B26+B28)</f>
        <v>71.87</v>
      </c>
      <c r="C27" s="7">
        <f>0.5*(C26+C28)</f>
        <v>33.19</v>
      </c>
      <c r="D27" s="7">
        <f>0.5*(D26+D28)</f>
        <v>38.68</v>
      </c>
      <c r="E27" s="7">
        <f>0.5*(E26+E28)</f>
        <v>27.5</v>
      </c>
      <c r="F27" s="7">
        <f>B27*F20/100</f>
        <v>211.9556587781818</v>
      </c>
      <c r="G27" s="7">
        <f>-C27*F20/100</f>
        <v>-97.88240315636362</v>
      </c>
      <c r="H27" s="7">
        <f>D27*F20/100</f>
        <v>114.07325562181815</v>
      </c>
      <c r="I27" s="7">
        <f t="shared" si="0"/>
        <v>55.78544945781815</v>
      </c>
      <c r="J27" s="7">
        <f t="shared" si="1"/>
        <v>58.287806163999996</v>
      </c>
    </row>
    <row r="28" spans="1:10" ht="12.75">
      <c r="A28" s="4">
        <v>0.2</v>
      </c>
      <c r="B28" s="7">
        <v>67.15</v>
      </c>
      <c r="C28" s="7">
        <v>30.21</v>
      </c>
      <c r="D28" s="7">
        <v>36.94</v>
      </c>
      <c r="E28" s="7">
        <v>24.5</v>
      </c>
      <c r="F28" s="7">
        <f>B28*F20/100</f>
        <v>198.03565447272726</v>
      </c>
      <c r="G28" s="7">
        <f>-C28*F20/100</f>
        <v>-89.09392586181816</v>
      </c>
      <c r="H28" s="7">
        <f>D28*F20/100</f>
        <v>108.94172861090907</v>
      </c>
      <c r="I28" s="7">
        <f t="shared" si="0"/>
        <v>60.42299326509089</v>
      </c>
      <c r="J28" s="7">
        <f t="shared" si="1"/>
        <v>48.51873534581818</v>
      </c>
    </row>
    <row r="44" ht="12.75">
      <c r="A44" s="3" t="s">
        <v>125</v>
      </c>
    </row>
    <row r="45" ht="12.75">
      <c r="A45" t="s">
        <v>124</v>
      </c>
    </row>
    <row r="46" spans="1:4" ht="12.75">
      <c r="A46" s="4" t="s">
        <v>101</v>
      </c>
      <c r="B46" s="4" t="s">
        <v>121</v>
      </c>
      <c r="C46" s="4" t="s">
        <v>122</v>
      </c>
      <c r="D46" s="4" t="s">
        <v>123</v>
      </c>
    </row>
    <row r="47" spans="1:4" ht="12.75">
      <c r="A47" s="4">
        <v>0.2</v>
      </c>
      <c r="B47">
        <v>4.06</v>
      </c>
      <c r="C47">
        <v>3.66</v>
      </c>
      <c r="D47">
        <v>3.26</v>
      </c>
    </row>
    <row r="48" spans="1:4" ht="12.75">
      <c r="A48" s="4">
        <v>0.3</v>
      </c>
      <c r="B48">
        <v>3.59</v>
      </c>
      <c r="C48">
        <v>3.24</v>
      </c>
      <c r="D48">
        <v>2.89</v>
      </c>
    </row>
    <row r="49" spans="1:4" ht="12.75">
      <c r="A49" s="4">
        <v>0.4</v>
      </c>
      <c r="B49">
        <v>3.12</v>
      </c>
      <c r="C49">
        <v>2.82</v>
      </c>
      <c r="D49">
        <v>2.52</v>
      </c>
    </row>
    <row r="50" spans="1:4" ht="12.75">
      <c r="A50" s="4">
        <v>0.5</v>
      </c>
      <c r="B50">
        <v>2.65</v>
      </c>
      <c r="C50">
        <v>2.4</v>
      </c>
      <c r="D50">
        <v>2.15</v>
      </c>
    </row>
    <row r="51" spans="1:4" ht="12.75">
      <c r="A51" s="4">
        <v>0.6</v>
      </c>
      <c r="B51">
        <v>2.18</v>
      </c>
      <c r="C51">
        <v>1.98</v>
      </c>
      <c r="D51">
        <v>1.78</v>
      </c>
    </row>
    <row r="52" spans="1:4" ht="12.75">
      <c r="A52" s="4">
        <v>0.7</v>
      </c>
      <c r="B52">
        <v>1.71</v>
      </c>
      <c r="C52">
        <v>1.56</v>
      </c>
      <c r="D52">
        <v>1.41</v>
      </c>
    </row>
    <row r="53" spans="1:4" ht="12.75">
      <c r="A53" s="4">
        <v>0.8</v>
      </c>
      <c r="B53">
        <v>1.24</v>
      </c>
      <c r="C53">
        <v>1.14</v>
      </c>
      <c r="D53">
        <v>1.04</v>
      </c>
    </row>
    <row r="54" spans="1:4" ht="12.75">
      <c r="A54" s="4">
        <v>0.9</v>
      </c>
      <c r="B54">
        <v>0.77</v>
      </c>
      <c r="C54">
        <v>0.72</v>
      </c>
      <c r="D54">
        <v>0.67</v>
      </c>
    </row>
    <row r="55" spans="1:4" ht="12.75">
      <c r="A55" s="4">
        <v>1</v>
      </c>
      <c r="B55">
        <v>0.3</v>
      </c>
      <c r="C55">
        <v>0.3</v>
      </c>
      <c r="D55">
        <v>0.3</v>
      </c>
    </row>
    <row r="57" spans="1:4" ht="12.75">
      <c r="A57" s="6" t="s">
        <v>359</v>
      </c>
      <c r="B57" s="4" t="s">
        <v>88</v>
      </c>
      <c r="C57" s="13">
        <f>'kavitáció és szilárdság'!E2</f>
        <v>1.4</v>
      </c>
      <c r="D57" t="s">
        <v>360</v>
      </c>
    </row>
    <row r="58" spans="1:3" ht="15.75">
      <c r="A58" s="4" t="s">
        <v>101</v>
      </c>
      <c r="B58" t="s">
        <v>126</v>
      </c>
      <c r="C58" t="s">
        <v>227</v>
      </c>
    </row>
    <row r="59" spans="1:3" ht="12.75">
      <c r="A59" s="4">
        <v>0.2</v>
      </c>
      <c r="B59" s="7">
        <f>1000*C57*C47/100</f>
        <v>51.24</v>
      </c>
      <c r="C59" s="7">
        <v>70</v>
      </c>
    </row>
    <row r="60" spans="1:3" ht="12.75">
      <c r="A60" s="4">
        <v>0.3</v>
      </c>
      <c r="B60" s="7">
        <f>1000*C57*C48/100</f>
        <v>45.36</v>
      </c>
      <c r="C60" s="7">
        <v>69</v>
      </c>
    </row>
    <row r="61" spans="1:12" ht="12.75">
      <c r="A61" s="4">
        <v>0.4</v>
      </c>
      <c r="B61" s="7">
        <f>1000*C57*C49/100</f>
        <v>39.48</v>
      </c>
      <c r="C61" s="7">
        <v>66.5</v>
      </c>
      <c r="L61" s="7"/>
    </row>
    <row r="62" spans="1:3" ht="12.75">
      <c r="A62" s="4">
        <v>0.5</v>
      </c>
      <c r="B62" s="7">
        <f>1000*C57*C50/100</f>
        <v>33.6</v>
      </c>
      <c r="C62" s="7">
        <v>63.5</v>
      </c>
    </row>
    <row r="63" spans="1:3" ht="12.75">
      <c r="A63" s="4">
        <v>0.6</v>
      </c>
      <c r="B63" s="7">
        <f>1000*C57*C51/100</f>
        <v>27.72</v>
      </c>
      <c r="C63" s="7">
        <v>58</v>
      </c>
    </row>
    <row r="64" spans="1:3" ht="12.75">
      <c r="A64" s="4">
        <v>0.7</v>
      </c>
      <c r="B64" s="7">
        <f>1000*C57*C52/100</f>
        <v>21.84</v>
      </c>
      <c r="C64" s="7">
        <v>49</v>
      </c>
    </row>
    <row r="65" spans="1:3" ht="12.75">
      <c r="A65" s="4">
        <v>0.8</v>
      </c>
      <c r="B65" s="7">
        <f>1000*C57*C53/100</f>
        <v>15.959999999999997</v>
      </c>
      <c r="C65" s="7">
        <v>37</v>
      </c>
    </row>
    <row r="66" spans="1:3" ht="12.75">
      <c r="A66" s="4">
        <v>0.9</v>
      </c>
      <c r="B66" s="7">
        <f>1000*C57*C54/100</f>
        <v>10.08</v>
      </c>
      <c r="C66" s="7">
        <v>25</v>
      </c>
    </row>
    <row r="67" spans="1:3" ht="12.75">
      <c r="A67" s="4">
        <v>1</v>
      </c>
      <c r="B67" s="7">
        <f>1000*C57*C55/100</f>
        <v>4.2</v>
      </c>
      <c r="C67" s="7">
        <v>10</v>
      </c>
    </row>
    <row r="69" ht="12.75">
      <c r="A69" s="3" t="s">
        <v>127</v>
      </c>
    </row>
    <row r="70" ht="12.75">
      <c r="A70" t="s">
        <v>367</v>
      </c>
    </row>
    <row r="71" ht="12.75">
      <c r="A71" t="s">
        <v>128</v>
      </c>
    </row>
    <row r="72" spans="1:14" ht="12.75">
      <c r="A72" s="17" t="s">
        <v>129</v>
      </c>
      <c r="B72" s="17"/>
      <c r="C72" s="17"/>
      <c r="D72" s="17"/>
      <c r="E72" s="17"/>
      <c r="F72" s="17"/>
      <c r="H72" s="17" t="s">
        <v>130</v>
      </c>
      <c r="I72" s="17"/>
      <c r="J72" s="17"/>
      <c r="K72" s="17"/>
      <c r="L72" s="17"/>
      <c r="M72" s="17"/>
      <c r="N72" s="17"/>
    </row>
    <row r="73" spans="1:14" ht="12.75">
      <c r="A73" s="4" t="s">
        <v>101</v>
      </c>
      <c r="B73" s="18">
        <v>1</v>
      </c>
      <c r="C73" s="18">
        <v>0.8</v>
      </c>
      <c r="D73" s="18">
        <v>0.6</v>
      </c>
      <c r="E73" s="18">
        <v>0.4</v>
      </c>
      <c r="F73" s="18">
        <v>0.2</v>
      </c>
      <c r="G73" s="18">
        <v>0</v>
      </c>
      <c r="H73" s="18">
        <v>0.2</v>
      </c>
      <c r="I73" s="18">
        <v>0.4</v>
      </c>
      <c r="J73" s="18">
        <v>0.6</v>
      </c>
      <c r="K73" s="18">
        <v>0.8</v>
      </c>
      <c r="L73" s="18">
        <v>0.9</v>
      </c>
      <c r="M73" s="18">
        <v>0.95</v>
      </c>
      <c r="N73" s="18">
        <v>1</v>
      </c>
    </row>
    <row r="74" spans="1:14" ht="12.75">
      <c r="A74" s="17" t="s">
        <v>131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3" ht="12.75">
      <c r="A75" s="39">
        <v>1</v>
      </c>
      <c r="B75" s="7"/>
      <c r="C75" s="7">
        <v>52</v>
      </c>
      <c r="D75" s="7">
        <v>73</v>
      </c>
      <c r="E75" s="7">
        <v>88</v>
      </c>
      <c r="F75" s="7">
        <v>97</v>
      </c>
      <c r="G75" s="20">
        <v>100</v>
      </c>
      <c r="H75" s="7">
        <v>97</v>
      </c>
      <c r="I75" s="7">
        <v>88</v>
      </c>
      <c r="J75" s="7">
        <v>73</v>
      </c>
      <c r="K75" s="7">
        <v>52</v>
      </c>
      <c r="L75" s="7">
        <v>39.25</v>
      </c>
      <c r="M75" s="7">
        <v>32.31</v>
      </c>
    </row>
    <row r="76" spans="1:13" ht="12.75">
      <c r="A76" s="39">
        <v>0.9</v>
      </c>
      <c r="B76" s="7"/>
      <c r="C76" s="7">
        <v>51.75</v>
      </c>
      <c r="D76" s="7">
        <v>72.94</v>
      </c>
      <c r="E76" s="7">
        <v>88.09</v>
      </c>
      <c r="F76" s="7">
        <v>97.17</v>
      </c>
      <c r="G76" s="20">
        <v>100</v>
      </c>
      <c r="H76" s="7">
        <v>97.17</v>
      </c>
      <c r="I76" s="7">
        <v>88.09</v>
      </c>
      <c r="J76" s="7">
        <v>72.94</v>
      </c>
      <c r="K76" s="7">
        <v>51.75</v>
      </c>
      <c r="L76" s="7">
        <v>38.87</v>
      </c>
      <c r="M76" s="7">
        <v>31.87</v>
      </c>
    </row>
    <row r="77" spans="1:13" ht="12.75">
      <c r="A77" s="39">
        <v>0.8</v>
      </c>
      <c r="B77" s="7"/>
      <c r="C77" s="7">
        <v>48.16</v>
      </c>
      <c r="D77" s="7">
        <v>70.84</v>
      </c>
      <c r="E77" s="7">
        <v>87.07</v>
      </c>
      <c r="F77" s="7">
        <v>96.76</v>
      </c>
      <c r="G77" s="20">
        <v>100</v>
      </c>
      <c r="H77" s="7">
        <v>96.76</v>
      </c>
      <c r="I77" s="7">
        <v>87.04</v>
      </c>
      <c r="J77" s="7">
        <v>70.84</v>
      </c>
      <c r="K77" s="7">
        <v>48.16</v>
      </c>
      <c r="L77" s="7">
        <v>34.39</v>
      </c>
      <c r="M77" s="7">
        <v>26.9</v>
      </c>
    </row>
    <row r="78" spans="1:13" ht="12.75">
      <c r="A78" s="39">
        <v>0.7</v>
      </c>
      <c r="B78" s="7"/>
      <c r="C78" s="7">
        <v>45.31</v>
      </c>
      <c r="D78" s="7">
        <v>69.24</v>
      </c>
      <c r="E78" s="7">
        <v>86.33</v>
      </c>
      <c r="F78" s="7">
        <v>96.58</v>
      </c>
      <c r="G78" s="20">
        <v>100</v>
      </c>
      <c r="H78" s="7">
        <v>96.58</v>
      </c>
      <c r="I78" s="7">
        <v>86.33</v>
      </c>
      <c r="J78" s="7">
        <v>69.24</v>
      </c>
      <c r="K78" s="7">
        <v>45.31</v>
      </c>
      <c r="L78" s="7">
        <v>30.79</v>
      </c>
      <c r="M78" s="7">
        <v>22.88</v>
      </c>
    </row>
    <row r="79" spans="1:13" ht="12.75">
      <c r="A79" s="39">
        <v>0.6</v>
      </c>
      <c r="B79" s="7"/>
      <c r="C79" s="7">
        <v>43.58</v>
      </c>
      <c r="D79" s="7">
        <v>68.26</v>
      </c>
      <c r="E79" s="7">
        <v>85.89</v>
      </c>
      <c r="F79" s="7">
        <v>96.47</v>
      </c>
      <c r="G79" s="20">
        <v>100</v>
      </c>
      <c r="H79" s="7">
        <v>96.47</v>
      </c>
      <c r="I79" s="7">
        <v>85.89</v>
      </c>
      <c r="J79" s="7">
        <v>68.26</v>
      </c>
      <c r="K79" s="7">
        <v>43.58</v>
      </c>
      <c r="L79" s="7">
        <v>28.59</v>
      </c>
      <c r="M79" s="7">
        <v>20.44</v>
      </c>
    </row>
    <row r="80" spans="1:13" ht="12.75">
      <c r="A80" s="39">
        <v>0.5</v>
      </c>
      <c r="B80" s="7"/>
      <c r="C80" s="7">
        <v>41.77</v>
      </c>
      <c r="D80" s="7">
        <v>68.59</v>
      </c>
      <c r="E80" s="7">
        <v>86.42</v>
      </c>
      <c r="F80" s="7">
        <v>96.6</v>
      </c>
      <c r="G80" s="20">
        <v>100</v>
      </c>
      <c r="H80" s="7">
        <v>96.77</v>
      </c>
      <c r="I80" s="7">
        <v>87.1</v>
      </c>
      <c r="J80" s="7">
        <v>70.46</v>
      </c>
      <c r="K80" s="7">
        <v>45.84</v>
      </c>
      <c r="L80" s="7">
        <v>30.22</v>
      </c>
      <c r="M80" s="7">
        <v>22.24</v>
      </c>
    </row>
    <row r="81" spans="1:13" ht="12.75">
      <c r="A81" s="39">
        <v>0.4</v>
      </c>
      <c r="B81" s="7"/>
      <c r="C81" s="7">
        <v>40.56</v>
      </c>
      <c r="D81" s="7">
        <v>66.94</v>
      </c>
      <c r="E81" s="7">
        <v>85.69</v>
      </c>
      <c r="F81" s="7">
        <v>96.25</v>
      </c>
      <c r="G81" s="20">
        <v>100</v>
      </c>
      <c r="H81" s="7">
        <v>97.22</v>
      </c>
      <c r="I81" s="7">
        <v>88.89</v>
      </c>
      <c r="J81" s="7">
        <v>73.61</v>
      </c>
      <c r="K81" s="7">
        <v>50</v>
      </c>
      <c r="L81" s="7">
        <v>34.72</v>
      </c>
      <c r="M81" s="7">
        <v>25.83</v>
      </c>
    </row>
    <row r="82" spans="1:13" ht="12.75">
      <c r="A82" s="39">
        <v>0.3</v>
      </c>
      <c r="B82" s="7"/>
      <c r="C82" s="7">
        <v>39.05</v>
      </c>
      <c r="D82" s="7">
        <v>66.63</v>
      </c>
      <c r="E82" s="7">
        <v>84.14</v>
      </c>
      <c r="F82" s="7">
        <v>95.86</v>
      </c>
      <c r="G82" s="20">
        <v>100</v>
      </c>
      <c r="H82" s="7">
        <v>97.63</v>
      </c>
      <c r="I82" s="7">
        <v>90.06</v>
      </c>
      <c r="J82" s="7">
        <v>75.62</v>
      </c>
      <c r="K82" s="7">
        <v>53.02</v>
      </c>
      <c r="L82" s="7">
        <v>37.87</v>
      </c>
      <c r="M82" s="7">
        <v>27.57</v>
      </c>
    </row>
    <row r="83" spans="1:13" ht="12.75">
      <c r="A83" s="39">
        <v>0.2</v>
      </c>
      <c r="B83" s="7"/>
      <c r="C83" s="7">
        <v>38.23</v>
      </c>
      <c r="D83" s="7">
        <v>63.65</v>
      </c>
      <c r="E83" s="7">
        <v>82.4</v>
      </c>
      <c r="F83" s="7">
        <v>95</v>
      </c>
      <c r="G83" s="20">
        <v>100</v>
      </c>
      <c r="H83" s="7">
        <v>97.92</v>
      </c>
      <c r="I83" s="7">
        <v>90.83</v>
      </c>
      <c r="J83" s="7">
        <v>77.19</v>
      </c>
      <c r="K83" s="7">
        <v>55</v>
      </c>
      <c r="L83" s="7">
        <v>38.75</v>
      </c>
      <c r="M83" s="7">
        <v>27.4</v>
      </c>
    </row>
    <row r="84" spans="1:14" ht="12.75">
      <c r="A84" s="40" t="s">
        <v>132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1:14" ht="12.75">
      <c r="A85" s="39">
        <v>0.5</v>
      </c>
      <c r="B85" s="7">
        <v>6.62</v>
      </c>
      <c r="C85" s="7">
        <v>0.68</v>
      </c>
      <c r="D85" s="7">
        <v>0.17</v>
      </c>
      <c r="E85" s="7"/>
      <c r="F85" s="7"/>
      <c r="G85" s="20">
        <v>0</v>
      </c>
      <c r="H85" s="7"/>
      <c r="I85" s="7">
        <v>0.17</v>
      </c>
      <c r="J85" s="7">
        <v>0.51</v>
      </c>
      <c r="K85" s="7">
        <v>1.02</v>
      </c>
      <c r="L85" s="7">
        <v>1.36</v>
      </c>
      <c r="M85" s="7">
        <v>1.53</v>
      </c>
      <c r="N85" s="7">
        <v>7.81</v>
      </c>
    </row>
    <row r="86" spans="1:14" ht="12.75">
      <c r="A86" s="39">
        <v>0.4</v>
      </c>
      <c r="B86" s="7">
        <v>9.17</v>
      </c>
      <c r="C86" s="7">
        <v>2.36</v>
      </c>
      <c r="D86" s="7">
        <v>0.56</v>
      </c>
      <c r="E86" s="7"/>
      <c r="F86" s="7"/>
      <c r="G86" s="20">
        <v>0</v>
      </c>
      <c r="H86" s="7"/>
      <c r="I86" s="7">
        <v>0.42</v>
      </c>
      <c r="J86" s="7">
        <v>1.39</v>
      </c>
      <c r="K86" s="7">
        <v>2.92</v>
      </c>
      <c r="L86" s="7">
        <v>3.89</v>
      </c>
      <c r="M86" s="7">
        <v>4.44</v>
      </c>
      <c r="N86" s="7">
        <v>13.47</v>
      </c>
    </row>
    <row r="87" spans="1:14" ht="12.75">
      <c r="A87" s="39">
        <v>0.3</v>
      </c>
      <c r="B87" s="7">
        <v>13.85</v>
      </c>
      <c r="C87" s="7">
        <v>4.62</v>
      </c>
      <c r="D87" s="7">
        <v>1.07</v>
      </c>
      <c r="E87" s="7"/>
      <c r="F87" s="7"/>
      <c r="G87" s="20">
        <v>0</v>
      </c>
      <c r="H87" s="7">
        <v>0.12</v>
      </c>
      <c r="I87" s="7">
        <v>0.83</v>
      </c>
      <c r="J87" s="7">
        <v>2.72</v>
      </c>
      <c r="K87" s="7">
        <v>6.15</v>
      </c>
      <c r="L87" s="7">
        <v>8.28</v>
      </c>
      <c r="M87" s="7">
        <v>10.3</v>
      </c>
      <c r="N87" s="7">
        <v>21.18</v>
      </c>
    </row>
    <row r="88" spans="1:14" ht="12.75">
      <c r="A88" s="39">
        <v>0.2</v>
      </c>
      <c r="B88" s="7">
        <v>20.21</v>
      </c>
      <c r="C88" s="7">
        <v>7.29</v>
      </c>
      <c r="D88" s="7">
        <v>1.77</v>
      </c>
      <c r="E88" s="7">
        <v>0.1</v>
      </c>
      <c r="F88" s="7"/>
      <c r="G88" s="20">
        <v>0</v>
      </c>
      <c r="H88" s="7">
        <v>0.21</v>
      </c>
      <c r="I88" s="7">
        <v>1.46</v>
      </c>
      <c r="J88" s="7">
        <v>4.37</v>
      </c>
      <c r="K88" s="7">
        <v>10.52</v>
      </c>
      <c r="L88" s="7">
        <v>16.04</v>
      </c>
      <c r="M88" s="7">
        <v>20.62</v>
      </c>
      <c r="N88" s="7">
        <v>33.33</v>
      </c>
    </row>
    <row r="90" spans="1:4" ht="12.75">
      <c r="A90" s="6" t="s">
        <v>359</v>
      </c>
      <c r="B90" s="4" t="s">
        <v>88</v>
      </c>
      <c r="C90" s="13">
        <f>'kavitáció és szilárdság'!E2</f>
        <v>1.4</v>
      </c>
      <c r="D90" t="s">
        <v>368</v>
      </c>
    </row>
    <row r="91" spans="1:14" ht="12.75">
      <c r="A91" s="17" t="s">
        <v>129</v>
      </c>
      <c r="B91" s="17"/>
      <c r="C91" s="17"/>
      <c r="D91" s="17"/>
      <c r="E91" s="17"/>
      <c r="F91" s="17"/>
      <c r="H91" s="17" t="s">
        <v>130</v>
      </c>
      <c r="I91" s="17"/>
      <c r="J91" s="17"/>
      <c r="K91" s="17"/>
      <c r="L91" s="17"/>
      <c r="M91" s="17"/>
      <c r="N91" s="17"/>
    </row>
    <row r="92" spans="1:14" ht="12.75">
      <c r="A92" s="4" t="s">
        <v>101</v>
      </c>
      <c r="B92" s="18">
        <v>1</v>
      </c>
      <c r="C92" s="18">
        <v>0.8</v>
      </c>
      <c r="D92" s="18">
        <v>0.6</v>
      </c>
      <c r="E92" s="18">
        <v>0.4</v>
      </c>
      <c r="F92" s="18">
        <v>0.2</v>
      </c>
      <c r="G92" s="18">
        <v>0</v>
      </c>
      <c r="H92" s="18">
        <v>0.2</v>
      </c>
      <c r="I92" s="18">
        <v>0.4</v>
      </c>
      <c r="J92" s="18">
        <v>0.6</v>
      </c>
      <c r="K92" s="18">
        <v>0.8</v>
      </c>
      <c r="L92" s="18">
        <v>0.9</v>
      </c>
      <c r="M92" s="18">
        <v>0.95</v>
      </c>
      <c r="N92" s="18">
        <v>1</v>
      </c>
    </row>
    <row r="93" spans="1:14" ht="12.75">
      <c r="A93" s="17" t="s">
        <v>131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1:14" ht="12.75">
      <c r="A94" s="20"/>
      <c r="B94" s="1">
        <f>F12-J12</f>
        <v>144.90866041343997</v>
      </c>
      <c r="C94" s="1">
        <f>0.8*B94</f>
        <v>115.92692833075199</v>
      </c>
      <c r="D94" s="1">
        <f>0.6*B94</f>
        <v>86.94519624806398</v>
      </c>
      <c r="E94" s="1">
        <f>0.4*B94</f>
        <v>57.963464165375996</v>
      </c>
      <c r="F94" s="1">
        <f>0.2*B94</f>
        <v>28.981732082687998</v>
      </c>
      <c r="G94" s="1">
        <v>0</v>
      </c>
      <c r="H94" s="1">
        <f>0.2*N94</f>
        <v>37.551169851857445</v>
      </c>
      <c r="I94" s="1">
        <f>0.4*N94</f>
        <v>75.10233970371489</v>
      </c>
      <c r="J94" s="1">
        <f>0.6*N94</f>
        <v>112.65350955557234</v>
      </c>
      <c r="K94" s="1">
        <f>0.6*N94</f>
        <v>112.65350955557234</v>
      </c>
      <c r="L94" s="1">
        <f>0.9*N94</f>
        <v>168.98026433335852</v>
      </c>
      <c r="M94" s="1">
        <f>0.95*N94</f>
        <v>178.36805679632286</v>
      </c>
      <c r="N94" s="1">
        <f>J12</f>
        <v>187.75584925928723</v>
      </c>
    </row>
    <row r="95" spans="1:14" ht="12.75">
      <c r="A95" s="39">
        <v>1</v>
      </c>
      <c r="C95" s="7">
        <f>G95*C75/100</f>
        <v>5.2</v>
      </c>
      <c r="D95" s="7">
        <f>G95*D75/100</f>
        <v>7.3</v>
      </c>
      <c r="E95" s="7">
        <f>G95*E75/100</f>
        <v>8.8</v>
      </c>
      <c r="F95" s="7">
        <f>G95*F75/100</f>
        <v>9.7</v>
      </c>
      <c r="G95" s="7">
        <f>C67</f>
        <v>10</v>
      </c>
      <c r="H95" s="7">
        <f>G95*H75/100</f>
        <v>9.7</v>
      </c>
      <c r="I95" s="7">
        <f>G95*I75/100</f>
        <v>8.8</v>
      </c>
      <c r="J95" s="7">
        <f>G95*J75/100</f>
        <v>7.3</v>
      </c>
      <c r="K95" s="7">
        <f>G95*K75/100</f>
        <v>5.2</v>
      </c>
      <c r="L95" s="7">
        <f>G95*L75/100</f>
        <v>3.925</v>
      </c>
      <c r="M95" s="7">
        <f>G95*M75/100</f>
        <v>3.2310000000000003</v>
      </c>
      <c r="N95" s="7"/>
    </row>
    <row r="96" spans="1:14" ht="12.75">
      <c r="A96" s="39"/>
      <c r="B96" s="1">
        <f>F14-J14</f>
        <v>145.094286030176</v>
      </c>
      <c r="C96" s="1">
        <f>0.8*B96</f>
        <v>116.0754288241408</v>
      </c>
      <c r="D96" s="1">
        <f>0.6*B96</f>
        <v>87.0565716181056</v>
      </c>
      <c r="E96" s="1">
        <f>0.4*B96</f>
        <v>58.0377144120704</v>
      </c>
      <c r="F96" s="1">
        <f>0.2*B96</f>
        <v>29.0188572060352</v>
      </c>
      <c r="G96" s="7">
        <v>0</v>
      </c>
      <c r="H96" s="1">
        <f>0.2*N96</f>
        <v>37.431468431782974</v>
      </c>
      <c r="I96" s="1">
        <f>0.4*N96</f>
        <v>74.86293686356595</v>
      </c>
      <c r="J96" s="1">
        <f>0.6*N96</f>
        <v>112.29440529534892</v>
      </c>
      <c r="K96" s="1">
        <f>0.6*N96</f>
        <v>112.29440529534892</v>
      </c>
      <c r="L96" s="1">
        <f>0.9*N96</f>
        <v>168.4416079430234</v>
      </c>
      <c r="M96" s="1">
        <f>0.95*N96</f>
        <v>177.7994750509691</v>
      </c>
      <c r="N96" s="7">
        <f>J14</f>
        <v>187.15734215891487</v>
      </c>
    </row>
    <row r="97" spans="1:14" ht="12.75">
      <c r="A97" s="39">
        <v>0.9</v>
      </c>
      <c r="B97" s="7"/>
      <c r="C97" s="7">
        <f>G97*C76/100</f>
        <v>12.9375</v>
      </c>
      <c r="D97" s="7">
        <f>G97*D76/100</f>
        <v>18.235</v>
      </c>
      <c r="E97" s="7">
        <f>G97*E76/100</f>
        <v>22.0225</v>
      </c>
      <c r="F97" s="7">
        <f>G97*F76/100</f>
        <v>24.2925</v>
      </c>
      <c r="G97" s="7">
        <f>C66</f>
        <v>25</v>
      </c>
      <c r="H97" s="7">
        <f>G97*H76/100</f>
        <v>24.2925</v>
      </c>
      <c r="I97" s="7">
        <f>G97*I76/100</f>
        <v>22.0225</v>
      </c>
      <c r="J97" s="7">
        <f>G97*J76/100</f>
        <v>18.235</v>
      </c>
      <c r="K97" s="7">
        <f>G97*K76/100</f>
        <v>12.9375</v>
      </c>
      <c r="L97" s="7">
        <f>G97*L76/100</f>
        <v>9.7175</v>
      </c>
      <c r="M97" s="7">
        <f>G97*M76/100</f>
        <v>7.9675</v>
      </c>
      <c r="N97" s="7"/>
    </row>
    <row r="98" spans="1:14" ht="12.75">
      <c r="A98" s="39"/>
      <c r="B98" s="1">
        <f>F16-J16</f>
        <v>145.95940839945305</v>
      </c>
      <c r="C98" s="1">
        <f>0.8*B98</f>
        <v>116.76752671956245</v>
      </c>
      <c r="D98" s="1">
        <f>0.6*B98</f>
        <v>87.57564503967183</v>
      </c>
      <c r="E98" s="1">
        <f>0.4*B98</f>
        <v>58.38376335978123</v>
      </c>
      <c r="F98" s="1">
        <f>0.2*B98</f>
        <v>29.191881679890614</v>
      </c>
      <c r="G98" s="7">
        <v>0</v>
      </c>
      <c r="H98" s="1">
        <f>0.2*N98</f>
        <v>35.7366807753821</v>
      </c>
      <c r="I98" s="1">
        <f>0.4*N98</f>
        <v>71.4733615507642</v>
      </c>
      <c r="J98" s="1">
        <f>0.6*N98</f>
        <v>107.2100423261463</v>
      </c>
      <c r="K98" s="1">
        <f>0.6*N98</f>
        <v>107.2100423261463</v>
      </c>
      <c r="L98" s="1">
        <f>0.9*N98</f>
        <v>160.81506348921945</v>
      </c>
      <c r="M98" s="1">
        <f>0.95*N98</f>
        <v>169.74923368306494</v>
      </c>
      <c r="N98" s="7">
        <f>J16</f>
        <v>178.6834038769105</v>
      </c>
    </row>
    <row r="99" spans="1:14" ht="12.75">
      <c r="A99" s="39">
        <v>0.8</v>
      </c>
      <c r="B99" s="7"/>
      <c r="C99" s="7">
        <f>G99*C77/100</f>
        <v>17.8192</v>
      </c>
      <c r="D99" s="7">
        <f>G99*D77/100</f>
        <v>26.2108</v>
      </c>
      <c r="E99" s="7">
        <f>G99*E77/100</f>
        <v>32.2159</v>
      </c>
      <c r="F99" s="7">
        <f>G99*F77/100</f>
        <v>35.8012</v>
      </c>
      <c r="G99" s="7">
        <f>C65</f>
        <v>37</v>
      </c>
      <c r="H99" s="7">
        <f>G99*H77/100</f>
        <v>35.8012</v>
      </c>
      <c r="I99" s="7">
        <f>G99*I77/100</f>
        <v>32.2048</v>
      </c>
      <c r="J99" s="7">
        <f>G99*J77/100</f>
        <v>26.2108</v>
      </c>
      <c r="K99" s="7">
        <f>G99*K77/100</f>
        <v>17.8192</v>
      </c>
      <c r="L99" s="7">
        <f>G99*L77/100</f>
        <v>12.724300000000001</v>
      </c>
      <c r="M99" s="7">
        <f>G99*M77/100</f>
        <v>9.953</v>
      </c>
      <c r="N99" s="7"/>
    </row>
    <row r="100" spans="1:14" ht="12.75">
      <c r="A100" s="39"/>
      <c r="B100" s="1">
        <f>F18-J18</f>
        <v>146.95130897743417</v>
      </c>
      <c r="C100" s="1">
        <f>0.8*B100</f>
        <v>117.56104718194734</v>
      </c>
      <c r="D100" s="1">
        <f>0.6*B100</f>
        <v>88.1707853864605</v>
      </c>
      <c r="E100" s="1">
        <f>0.4*B100</f>
        <v>58.78052359097367</v>
      </c>
      <c r="F100" s="1">
        <f>0.2*B100</f>
        <v>29.390261795486836</v>
      </c>
      <c r="G100" s="7">
        <v>0</v>
      </c>
      <c r="H100" s="1">
        <f>0.2*N100</f>
        <v>33.049215144149514</v>
      </c>
      <c r="I100" s="1">
        <f>0.4*N100</f>
        <v>66.09843028829903</v>
      </c>
      <c r="J100" s="1">
        <f>0.6*N100</f>
        <v>99.14764543244854</v>
      </c>
      <c r="K100" s="1">
        <f>0.6*N100</f>
        <v>99.14764543244854</v>
      </c>
      <c r="L100" s="1">
        <f>0.9*N100</f>
        <v>148.7214681486728</v>
      </c>
      <c r="M100" s="1">
        <f>0.95*N100</f>
        <v>156.98377193471018</v>
      </c>
      <c r="N100" s="7">
        <f>J18</f>
        <v>165.24607572074757</v>
      </c>
    </row>
    <row r="101" spans="1:14" ht="12.75">
      <c r="A101" s="39">
        <v>0.7</v>
      </c>
      <c r="B101" s="7"/>
      <c r="C101" s="7">
        <f>G101*C78/100</f>
        <v>22.201900000000002</v>
      </c>
      <c r="D101" s="7">
        <f>G101*D78/100</f>
        <v>33.9276</v>
      </c>
      <c r="E101" s="7">
        <f>G101*E78/100</f>
        <v>42.301700000000004</v>
      </c>
      <c r="F101" s="7">
        <f>G101*F78/100</f>
        <v>47.3242</v>
      </c>
      <c r="G101" s="7">
        <f>C64</f>
        <v>49</v>
      </c>
      <c r="H101" s="7">
        <f>G101*H78/100</f>
        <v>47.3242</v>
      </c>
      <c r="I101" s="7">
        <f>G101*I78/100</f>
        <v>42.301700000000004</v>
      </c>
      <c r="J101" s="7">
        <f>G101*J78/100</f>
        <v>33.9276</v>
      </c>
      <c r="K101" s="7">
        <f>G101*K78/100</f>
        <v>22.201900000000002</v>
      </c>
      <c r="L101" s="7">
        <f>G101*L78/100</f>
        <v>15.0871</v>
      </c>
      <c r="M101" s="7">
        <f>G101*M78/100</f>
        <v>11.211199999999998</v>
      </c>
      <c r="N101" s="7"/>
    </row>
    <row r="102" spans="1:14" ht="12.75">
      <c r="A102" s="39"/>
      <c r="B102" s="1">
        <f>F20-J20</f>
        <v>147.5166557963636</v>
      </c>
      <c r="C102" s="1">
        <f>0.8*B102</f>
        <v>118.01332463709089</v>
      </c>
      <c r="D102" s="1">
        <f>0.6*B102</f>
        <v>88.50999347781816</v>
      </c>
      <c r="E102" s="1">
        <f>0.4*B102</f>
        <v>59.006662318545445</v>
      </c>
      <c r="F102" s="1">
        <f>0.2*B102</f>
        <v>29.503331159272722</v>
      </c>
      <c r="G102" s="7">
        <v>0</v>
      </c>
      <c r="H102" s="1">
        <f>0.2*N102</f>
        <v>29.479737931636357</v>
      </c>
      <c r="I102" s="1">
        <f>0.4*N102</f>
        <v>58.959475863272715</v>
      </c>
      <c r="J102" s="1">
        <f>0.6*N102</f>
        <v>88.43921379490907</v>
      </c>
      <c r="K102" s="1">
        <f>0.6*N102</f>
        <v>88.43921379490907</v>
      </c>
      <c r="L102" s="1">
        <f>0.9*N102</f>
        <v>132.6588206923636</v>
      </c>
      <c r="M102" s="1">
        <f>0.95*N102</f>
        <v>140.0287551752727</v>
      </c>
      <c r="N102" s="7">
        <f>J20</f>
        <v>147.39868965818178</v>
      </c>
    </row>
    <row r="103" spans="1:14" ht="12.75">
      <c r="A103" s="39">
        <v>0.6</v>
      </c>
      <c r="B103" s="7"/>
      <c r="C103" s="7">
        <f>G103*C79/100</f>
        <v>25.2764</v>
      </c>
      <c r="D103" s="7">
        <f>G103*D79/100</f>
        <v>39.5908</v>
      </c>
      <c r="E103" s="7">
        <f>G103*E79/100</f>
        <v>49.8162</v>
      </c>
      <c r="F103" s="7">
        <f>G103*F79/100</f>
        <v>55.952600000000004</v>
      </c>
      <c r="G103" s="7">
        <f>C63</f>
        <v>58</v>
      </c>
      <c r="H103" s="7">
        <f>G103*H79/100</f>
        <v>55.952600000000004</v>
      </c>
      <c r="I103" s="7">
        <f>G103*I79/100</f>
        <v>49.8162</v>
      </c>
      <c r="J103" s="7">
        <f>G103*J79/100</f>
        <v>39.5908</v>
      </c>
      <c r="K103" s="7">
        <f>G103*K79/100</f>
        <v>25.2764</v>
      </c>
      <c r="L103" s="7">
        <f>G103*L79/100</f>
        <v>16.5822</v>
      </c>
      <c r="M103" s="7">
        <f>G103*M79/100</f>
        <v>11.8552</v>
      </c>
      <c r="N103" s="7"/>
    </row>
    <row r="104" spans="1:14" ht="12.75">
      <c r="A104" s="39"/>
      <c r="B104" s="1">
        <f>F22-J22</f>
        <v>149.21961496715633</v>
      </c>
      <c r="C104" s="1">
        <f>0.8*B104</f>
        <v>119.37569197372507</v>
      </c>
      <c r="D104" s="1">
        <f>0.6*B104</f>
        <v>89.53176898029379</v>
      </c>
      <c r="E104" s="1">
        <f>0.4*B104</f>
        <v>59.687845986862534</v>
      </c>
      <c r="F104" s="1">
        <f>0.2*B104</f>
        <v>29.843922993431267</v>
      </c>
      <c r="G104" s="7">
        <v>0</v>
      </c>
      <c r="H104" s="1">
        <f>0.2*N104</f>
        <v>25.016229568023274</v>
      </c>
      <c r="I104" s="1">
        <f>0.4*N104</f>
        <v>50.03245913604655</v>
      </c>
      <c r="J104" s="1">
        <f>0.6*N104</f>
        <v>75.04868870406982</v>
      </c>
      <c r="K104" s="1">
        <f>0.6*N104</f>
        <v>75.04868870406982</v>
      </c>
      <c r="L104" s="1">
        <f>0.9*N104</f>
        <v>112.57303305610472</v>
      </c>
      <c r="M104" s="1">
        <f>0.95*N104</f>
        <v>118.82709044811054</v>
      </c>
      <c r="N104" s="7">
        <f>J22</f>
        <v>125.08114784011636</v>
      </c>
    </row>
    <row r="105" spans="1:15" ht="12.75">
      <c r="A105" s="39">
        <v>0.5</v>
      </c>
      <c r="B105" s="7"/>
      <c r="C105" s="7">
        <f>G105*C80/100</f>
        <v>26.52395</v>
      </c>
      <c r="D105" s="7">
        <f>G105*D80/100</f>
        <v>43.55465</v>
      </c>
      <c r="E105" s="7">
        <f>G105*E80/100</f>
        <v>54.8767</v>
      </c>
      <c r="F105" s="7">
        <f>G105*F80/100</f>
        <v>61.340999999999994</v>
      </c>
      <c r="G105" s="7">
        <f>C62</f>
        <v>63.5</v>
      </c>
      <c r="H105" s="7">
        <f>G105*H80/100</f>
        <v>61.448949999999996</v>
      </c>
      <c r="I105" s="7">
        <f>G105*I80/100</f>
        <v>55.308499999999995</v>
      </c>
      <c r="J105" s="7">
        <f>G105*J80/100</f>
        <v>44.7421</v>
      </c>
      <c r="K105" s="7">
        <f>G105*K80/100</f>
        <v>29.108400000000003</v>
      </c>
      <c r="L105" s="7">
        <f>G105*L80/100</f>
        <v>19.189700000000002</v>
      </c>
      <c r="M105" s="7">
        <f>G105*M80/100</f>
        <v>14.1224</v>
      </c>
      <c r="N105" s="7"/>
      <c r="O105" s="7"/>
    </row>
    <row r="106" spans="1:14" ht="12.75">
      <c r="A106" s="39"/>
      <c r="B106" s="1">
        <f>F24-J24</f>
        <v>152.75293673797813</v>
      </c>
      <c r="C106" s="1">
        <f>0.8*B106</f>
        <v>122.20234939038251</v>
      </c>
      <c r="D106" s="1">
        <f>0.6*B106</f>
        <v>91.65176204278687</v>
      </c>
      <c r="E106" s="1">
        <f>0.4*B106</f>
        <v>61.101174695191254</v>
      </c>
      <c r="F106" s="1">
        <f>0.2*B106</f>
        <v>30.550587347595627</v>
      </c>
      <c r="G106" s="7">
        <v>0</v>
      </c>
      <c r="H106" s="1">
        <f>0.2*N106</f>
        <v>19.697089210949816</v>
      </c>
      <c r="I106" s="1">
        <f>0.4*N106</f>
        <v>39.39417842189963</v>
      </c>
      <c r="J106" s="1">
        <f>0.6*N106</f>
        <v>59.091267632849444</v>
      </c>
      <c r="K106" s="1">
        <f>0.6*N106</f>
        <v>59.091267632849444</v>
      </c>
      <c r="L106" s="1">
        <f>0.9*N106</f>
        <v>88.63690144927418</v>
      </c>
      <c r="M106" s="1">
        <f>0.95*N106</f>
        <v>93.56117375201161</v>
      </c>
      <c r="N106" s="7">
        <f>J24</f>
        <v>98.48544605474908</v>
      </c>
    </row>
    <row r="107" spans="1:14" ht="12.75">
      <c r="A107" s="39">
        <v>0.4</v>
      </c>
      <c r="B107" s="7"/>
      <c r="C107" s="7">
        <f>G107*C81/100</f>
        <v>26.972400000000004</v>
      </c>
      <c r="D107" s="7">
        <f>G107*D81/100</f>
        <v>44.515100000000004</v>
      </c>
      <c r="E107" s="7">
        <f>G107*E81/100</f>
        <v>56.983850000000004</v>
      </c>
      <c r="F107" s="7">
        <f>G107*F81/100</f>
        <v>64.00625</v>
      </c>
      <c r="G107" s="7">
        <f>C61</f>
        <v>66.5</v>
      </c>
      <c r="H107" s="7">
        <f>G107*H81/100</f>
        <v>64.6513</v>
      </c>
      <c r="I107" s="7">
        <f>G107*I81/100</f>
        <v>59.111850000000004</v>
      </c>
      <c r="J107" s="7">
        <f>G107*J81/100</f>
        <v>48.950649999999996</v>
      </c>
      <c r="K107" s="7">
        <f>G107*K81/100</f>
        <v>33.25</v>
      </c>
      <c r="L107" s="7">
        <f>G107*L81/100</f>
        <v>23.088800000000003</v>
      </c>
      <c r="M107" s="7">
        <f>G107*M81/100</f>
        <v>17.176949999999998</v>
      </c>
      <c r="N107" s="7"/>
    </row>
    <row r="108" spans="1:14" ht="12.75">
      <c r="A108" s="39"/>
      <c r="B108" s="1">
        <f>F26-J26</f>
        <v>156.98358584312723</v>
      </c>
      <c r="C108" s="1">
        <f>0.8*B108</f>
        <v>125.58686867450179</v>
      </c>
      <c r="D108" s="1">
        <f>0.6*B108</f>
        <v>94.19015150587633</v>
      </c>
      <c r="E108" s="1">
        <f>0.4*B108</f>
        <v>62.79343433725089</v>
      </c>
      <c r="F108" s="1">
        <f>0.2*B108</f>
        <v>31.396717168625447</v>
      </c>
      <c r="G108" s="7">
        <v>0</v>
      </c>
      <c r="H108" s="1">
        <f>0.2*N108</f>
        <v>13.778415448101818</v>
      </c>
      <c r="I108" s="1">
        <f>0.4*N108</f>
        <v>27.556830896203635</v>
      </c>
      <c r="J108" s="1">
        <f>0.6*N108</f>
        <v>41.335246344305446</v>
      </c>
      <c r="K108" s="1">
        <f>0.6*N108</f>
        <v>41.335246344305446</v>
      </c>
      <c r="L108" s="1">
        <f>0.9*N108</f>
        <v>62.002869516458176</v>
      </c>
      <c r="M108" s="1">
        <f>0.95*N108</f>
        <v>65.44747337848362</v>
      </c>
      <c r="N108" s="7">
        <f>J26</f>
        <v>68.89207724050908</v>
      </c>
    </row>
    <row r="109" spans="1:14" ht="12.75">
      <c r="A109" s="39">
        <v>0.3</v>
      </c>
      <c r="B109" s="7"/>
      <c r="C109" s="7">
        <f>G109*C82/100</f>
        <v>26.944499999999998</v>
      </c>
      <c r="D109" s="7">
        <f>G109*D82/100</f>
        <v>45.97469999999999</v>
      </c>
      <c r="E109" s="7">
        <f>G109*E82/100</f>
        <v>58.056599999999996</v>
      </c>
      <c r="F109" s="7">
        <f>G109*F82/100</f>
        <v>66.1434</v>
      </c>
      <c r="G109" s="7">
        <f>C60</f>
        <v>69</v>
      </c>
      <c r="H109" s="7">
        <f>G109*H82/100</f>
        <v>67.3647</v>
      </c>
      <c r="I109" s="7">
        <f>G109*I82/100</f>
        <v>62.141400000000004</v>
      </c>
      <c r="J109" s="7">
        <f>G109*J82/100</f>
        <v>52.177800000000005</v>
      </c>
      <c r="K109" s="7">
        <f>G109*K82/100</f>
        <v>36.583800000000004</v>
      </c>
      <c r="L109" s="7">
        <f>G109*L82/100</f>
        <v>26.1303</v>
      </c>
      <c r="M109" s="7">
        <f>G109*M82/100</f>
        <v>19.0233</v>
      </c>
      <c r="N109" s="7"/>
    </row>
    <row r="110" spans="1:14" ht="12.75">
      <c r="A110" s="39"/>
      <c r="B110" s="1">
        <f>F28-J28</f>
        <v>149.51691912690907</v>
      </c>
      <c r="C110" s="1">
        <f>0.8*B110</f>
        <v>119.61353530152726</v>
      </c>
      <c r="D110" s="1">
        <f>0.6*B110</f>
        <v>89.71015147614544</v>
      </c>
      <c r="E110" s="1">
        <f>0.4*B110</f>
        <v>59.80676765076363</v>
      </c>
      <c r="F110" s="1">
        <f>0.2*B110</f>
        <v>29.903383825381816</v>
      </c>
      <c r="G110" s="7">
        <v>0</v>
      </c>
      <c r="H110" s="1">
        <f>0.2*N110</f>
        <v>9.703747069163636</v>
      </c>
      <c r="I110" s="1">
        <f>0.4*N110</f>
        <v>19.407494138327273</v>
      </c>
      <c r="J110" s="1">
        <f>0.6*N110</f>
        <v>29.111241207490906</v>
      </c>
      <c r="K110" s="1">
        <f>0.6*N110</f>
        <v>29.111241207490906</v>
      </c>
      <c r="L110" s="1">
        <f>0.9*N110</f>
        <v>43.66686181123636</v>
      </c>
      <c r="M110" s="1">
        <f>0.95*N110</f>
        <v>46.092798578527265</v>
      </c>
      <c r="N110" s="7">
        <f>J28</f>
        <v>48.51873534581818</v>
      </c>
    </row>
    <row r="111" spans="1:14" ht="12.75">
      <c r="A111" s="39">
        <v>0.2</v>
      </c>
      <c r="B111" s="7"/>
      <c r="C111" s="7">
        <f>G111*C83/100</f>
        <v>26.761</v>
      </c>
      <c r="D111" s="7">
        <f>G111*D83/100</f>
        <v>44.555</v>
      </c>
      <c r="E111" s="7">
        <f>G111*E83/100</f>
        <v>57.68</v>
      </c>
      <c r="F111" s="7">
        <f>G111*F83/100</f>
        <v>66.5</v>
      </c>
      <c r="G111" s="7">
        <f>C59</f>
        <v>70</v>
      </c>
      <c r="H111" s="7">
        <f>G111*H83/100</f>
        <v>68.54400000000001</v>
      </c>
      <c r="I111" s="7">
        <f>G111*I83/100</f>
        <v>63.580999999999996</v>
      </c>
      <c r="J111" s="7">
        <f>G111*J83/100</f>
        <v>54.033</v>
      </c>
      <c r="K111" s="7">
        <f>G111*K83/100</f>
        <v>38.5</v>
      </c>
      <c r="L111" s="7">
        <f>G111*L83/100</f>
        <v>27.125</v>
      </c>
      <c r="M111" s="7">
        <f>G111*M83/100</f>
        <v>19.18</v>
      </c>
      <c r="N111" s="7"/>
    </row>
    <row r="112" spans="1:14" ht="12.75">
      <c r="A112" s="17" t="s">
        <v>132</v>
      </c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</row>
    <row r="113" spans="1:14" ht="12.75">
      <c r="A113" s="4">
        <v>0.5</v>
      </c>
      <c r="B113" s="7">
        <f>G105*B85/100</f>
        <v>4.2037</v>
      </c>
      <c r="C113" s="7">
        <f>G105*C85/100</f>
        <v>0.4318</v>
      </c>
      <c r="D113" s="7">
        <f>G105*D85/100</f>
        <v>0.10795</v>
      </c>
      <c r="E113" s="7"/>
      <c r="F113" s="7"/>
      <c r="G113" s="7"/>
      <c r="H113" s="7"/>
      <c r="I113" s="7">
        <f>G105*I85/100</f>
        <v>0.10795</v>
      </c>
      <c r="J113" s="7">
        <f>G105*J85/100</f>
        <v>0.32384999999999997</v>
      </c>
      <c r="K113" s="7">
        <f>G105*K85/100</f>
        <v>0.6476999999999999</v>
      </c>
      <c r="L113" s="7">
        <f>G105*L85/100</f>
        <v>0.8636</v>
      </c>
      <c r="M113" s="7">
        <f>G105*M85/100</f>
        <v>0.97155</v>
      </c>
      <c r="N113" s="7">
        <f>G105*N85/100</f>
        <v>4.95935</v>
      </c>
    </row>
    <row r="114" spans="1:14" ht="12.75">
      <c r="A114" s="4">
        <v>0.4</v>
      </c>
      <c r="B114" s="7">
        <f>G107*B86/100</f>
        <v>6.09805</v>
      </c>
      <c r="C114" s="7">
        <f>8.58*C86/100</f>
        <v>0.202488</v>
      </c>
      <c r="D114" s="7">
        <f>8.58*D86/100</f>
        <v>0.048048</v>
      </c>
      <c r="E114" s="7"/>
      <c r="F114" s="7"/>
      <c r="G114" s="7"/>
      <c r="H114" s="7"/>
      <c r="I114" s="7">
        <f>G107*I86/100</f>
        <v>0.2793</v>
      </c>
      <c r="J114" s="7">
        <f>G107*J86/100</f>
        <v>0.9243499999999999</v>
      </c>
      <c r="K114" s="7">
        <f>G107*K86/100</f>
        <v>1.9418</v>
      </c>
      <c r="L114" s="7">
        <f>G107*L86/100</f>
        <v>2.58685</v>
      </c>
      <c r="M114" s="7">
        <f>G107*M86/100</f>
        <v>2.9526000000000003</v>
      </c>
      <c r="N114" s="7">
        <f>G107*N86/100</f>
        <v>8.95755</v>
      </c>
    </row>
    <row r="115" spans="1:14" ht="12.75">
      <c r="A115" s="4">
        <v>0.3</v>
      </c>
      <c r="B115" s="7">
        <f>G109*B87/100</f>
        <v>9.5565</v>
      </c>
      <c r="C115" s="7">
        <f>G109*C87/100</f>
        <v>3.1878</v>
      </c>
      <c r="D115" s="7">
        <f>G109*D87/100</f>
        <v>0.7383</v>
      </c>
      <c r="E115" s="7"/>
      <c r="F115" s="7"/>
      <c r="G115" s="7"/>
      <c r="H115" s="7">
        <f>G109*H87/100</f>
        <v>0.0828</v>
      </c>
      <c r="I115" s="7">
        <f>G109*I87/100</f>
        <v>0.5727</v>
      </c>
      <c r="J115" s="7">
        <f>G109*J87/100</f>
        <v>1.8768</v>
      </c>
      <c r="K115" s="7">
        <f>G109*K87/100</f>
        <v>4.2435</v>
      </c>
      <c r="L115" s="7">
        <f>G109*L87/100</f>
        <v>5.7132</v>
      </c>
      <c r="M115" s="7">
        <f>G109*M87/100</f>
        <v>7.107</v>
      </c>
      <c r="N115" s="7">
        <f>G109*N87/100</f>
        <v>14.6142</v>
      </c>
    </row>
    <row r="116" spans="1:14" ht="12.75">
      <c r="A116" s="4">
        <v>0.2</v>
      </c>
      <c r="B116" s="7">
        <f>G111*B88/100</f>
        <v>14.147</v>
      </c>
      <c r="C116" s="7">
        <f>G111*C88/100</f>
        <v>5.103</v>
      </c>
      <c r="D116" s="7">
        <f>G111*D88/100</f>
        <v>1.239</v>
      </c>
      <c r="E116" s="7">
        <f>G111*E88/100</f>
        <v>0.07</v>
      </c>
      <c r="F116" s="7"/>
      <c r="G116" s="7"/>
      <c r="H116" s="7">
        <f>G111*H88/100</f>
        <v>0.147</v>
      </c>
      <c r="I116" s="7">
        <f>G111*I88/100</f>
        <v>1.022</v>
      </c>
      <c r="J116" s="7">
        <f>G111*J88/100</f>
        <v>3.059</v>
      </c>
      <c r="K116" s="7">
        <f>G111*K88/100</f>
        <v>7.364</v>
      </c>
      <c r="L116" s="7">
        <f>G111*L88/100</f>
        <v>11.228</v>
      </c>
      <c r="M116" s="7">
        <f>G111*M88/100</f>
        <v>14.434000000000001</v>
      </c>
      <c r="N116" s="7">
        <f>G111*N88/100</f>
        <v>23.331</v>
      </c>
    </row>
    <row r="118" ht="12.75">
      <c r="A118" t="s">
        <v>136</v>
      </c>
    </row>
    <row r="119" ht="12.75">
      <c r="A119" t="s">
        <v>137</v>
      </c>
    </row>
    <row r="123" ht="12.75">
      <c r="A123" t="s">
        <v>138</v>
      </c>
    </row>
    <row r="127" ht="12.75">
      <c r="A127" t="s">
        <v>139</v>
      </c>
    </row>
    <row r="131" ht="12.75">
      <c r="A131" t="s">
        <v>140</v>
      </c>
    </row>
    <row r="136" ht="12.75">
      <c r="A136" t="s">
        <v>141</v>
      </c>
    </row>
    <row r="143" ht="12.75">
      <c r="A143" t="s">
        <v>142</v>
      </c>
    </row>
    <row r="149" ht="12.75">
      <c r="A149" t="s">
        <v>143</v>
      </c>
    </row>
    <row r="156" ht="12.75">
      <c r="A156" t="s">
        <v>144</v>
      </c>
    </row>
    <row r="164" ht="12.75">
      <c r="A164" t="s">
        <v>145</v>
      </c>
    </row>
    <row r="174" ht="12.75">
      <c r="A174" t="s">
        <v>146</v>
      </c>
    </row>
    <row r="175" spans="1:9" ht="12.75">
      <c r="A175" s="21" t="s">
        <v>147</v>
      </c>
      <c r="B175" s="17"/>
      <c r="C175" t="s">
        <v>162</v>
      </c>
      <c r="D175" t="s">
        <v>148</v>
      </c>
      <c r="E175" s="22" t="s">
        <v>149</v>
      </c>
      <c r="F175" s="22" t="s">
        <v>163</v>
      </c>
      <c r="G175" s="9" t="s">
        <v>150</v>
      </c>
      <c r="H175" s="22" t="s">
        <v>151</v>
      </c>
      <c r="I175" s="24" t="s">
        <v>164</v>
      </c>
    </row>
    <row r="176" spans="1:12" ht="15.75">
      <c r="A176" s="4" t="s">
        <v>101</v>
      </c>
      <c r="B176" s="4" t="s">
        <v>155</v>
      </c>
      <c r="C176" s="4" t="s">
        <v>109</v>
      </c>
      <c r="D176" s="4" t="s">
        <v>108</v>
      </c>
      <c r="E176" s="8" t="s">
        <v>158</v>
      </c>
      <c r="F176" s="23" t="s">
        <v>178</v>
      </c>
      <c r="G176" s="4" t="s">
        <v>110</v>
      </c>
      <c r="H176" s="8" t="s">
        <v>159</v>
      </c>
      <c r="I176" s="23" t="s">
        <v>179</v>
      </c>
      <c r="L176" s="22"/>
    </row>
    <row r="177" spans="2:9" ht="12.75">
      <c r="B177" s="4" t="s">
        <v>154</v>
      </c>
      <c r="C177" s="4" t="s">
        <v>154</v>
      </c>
      <c r="D177" s="4" t="s">
        <v>154</v>
      </c>
      <c r="E177" s="4" t="s">
        <v>157</v>
      </c>
      <c r="F177" s="4" t="s">
        <v>154</v>
      </c>
      <c r="G177" s="4" t="s">
        <v>154</v>
      </c>
      <c r="H177" s="4" t="s">
        <v>157</v>
      </c>
      <c r="I177" s="4" t="s">
        <v>154</v>
      </c>
    </row>
    <row r="178" spans="1:9" ht="12.75">
      <c r="A178" s="39">
        <v>1</v>
      </c>
      <c r="B178" s="7">
        <f>(1000*C57/2)*A178</f>
        <v>700</v>
      </c>
      <c r="C178" s="7">
        <f>F12</f>
        <v>332.6645096727272</v>
      </c>
      <c r="D178" s="7">
        <f>G12</f>
        <v>-166.4502209745454</v>
      </c>
      <c r="E178" s="7">
        <f>(D178/E193)*(180/PI())</f>
        <v>-13.118144702132842</v>
      </c>
      <c r="F178" s="7">
        <f aca="true" t="shared" si="2" ref="F178:F186">E193*SIN(E178/(180/PI()))</f>
        <v>-164.99979913095004</v>
      </c>
      <c r="G178" s="7">
        <f>H12</f>
        <v>166.4502209745454</v>
      </c>
      <c r="H178" s="7">
        <f>(G178/E193)*(180/PI())</f>
        <v>13.118144702132842</v>
      </c>
      <c r="I178" s="7">
        <f>E193*SIN(H178/(180/PI()))</f>
        <v>164.99979913095004</v>
      </c>
    </row>
    <row r="179" spans="1:9" ht="12.75">
      <c r="A179" s="39">
        <v>0.9</v>
      </c>
      <c r="B179" s="7">
        <f>(1000*C57/2)*A179</f>
        <v>630</v>
      </c>
      <c r="C179" s="7">
        <f>F14</f>
        <v>332.25162818909087</v>
      </c>
      <c r="D179" s="7">
        <f>G14</f>
        <v>-166.12581409454543</v>
      </c>
      <c r="E179" s="7">
        <f>(D179/E194)*(180/PI())</f>
        <v>-14.421671478223228</v>
      </c>
      <c r="F179" s="7">
        <f t="shared" si="2"/>
        <v>-164.37719205651152</v>
      </c>
      <c r="G179" s="7">
        <f>H14</f>
        <v>166.12581409454543</v>
      </c>
      <c r="H179" s="7">
        <f>(G179/E194)*(180/PI())</f>
        <v>14.421671478223228</v>
      </c>
      <c r="I179" s="7">
        <f aca="true" t="shared" si="3" ref="I179:I186">E194*SIN(H179/(180/PI()))</f>
        <v>164.37719205651152</v>
      </c>
    </row>
    <row r="180" spans="1:9" ht="12.75">
      <c r="A180" s="39">
        <v>0.8</v>
      </c>
      <c r="B180" s="7">
        <f>(1000*C57/2)*A180</f>
        <v>560</v>
      </c>
      <c r="C180" s="7">
        <f>F16</f>
        <v>324.64281227636354</v>
      </c>
      <c r="D180" s="7">
        <f>G16</f>
        <v>-162.32140613818177</v>
      </c>
      <c r="E180" s="7">
        <f aca="true" t="shared" si="4" ref="E180:E186">(D180/E195)*(180/PI())</f>
        <v>-15.66370624371608</v>
      </c>
      <c r="F180" s="7">
        <f t="shared" si="2"/>
        <v>-160.30700817931154</v>
      </c>
      <c r="G180" s="7">
        <f>H16</f>
        <v>162.32140613818177</v>
      </c>
      <c r="H180" s="7">
        <f aca="true" t="shared" si="5" ref="H180:H186">(G180/E195)*(180/PI())</f>
        <v>15.66370624371608</v>
      </c>
      <c r="I180" s="7">
        <f t="shared" si="3"/>
        <v>160.30700817931154</v>
      </c>
    </row>
    <row r="181" spans="1:9" ht="12.75">
      <c r="A181" s="39">
        <v>0.7</v>
      </c>
      <c r="B181" s="7">
        <f>(1000*C57/2)*A181</f>
        <v>489.99999999999994</v>
      </c>
      <c r="C181" s="7">
        <f>F18</f>
        <v>312.19738469818174</v>
      </c>
      <c r="D181" s="7">
        <f>G18</f>
        <v>-156.09869234909087</v>
      </c>
      <c r="E181" s="7">
        <f t="shared" si="4"/>
        <v>-16.92068181186715</v>
      </c>
      <c r="F181" s="7">
        <f t="shared" si="2"/>
        <v>-153.83954569388143</v>
      </c>
      <c r="G181" s="7">
        <f>H18</f>
        <v>156.09869234909087</v>
      </c>
      <c r="H181" s="7">
        <f t="shared" si="5"/>
        <v>16.92068181186715</v>
      </c>
      <c r="I181" s="7">
        <f t="shared" si="3"/>
        <v>153.83954569388143</v>
      </c>
    </row>
    <row r="182" spans="1:9" ht="12.75">
      <c r="A182" s="39">
        <v>0.6</v>
      </c>
      <c r="B182" s="7">
        <f>(1000*C57/2)*A182</f>
        <v>420</v>
      </c>
      <c r="C182" s="7">
        <f>F20</f>
        <v>294.9153454545454</v>
      </c>
      <c r="D182" s="7">
        <f>G20</f>
        <v>-147.07428277818178</v>
      </c>
      <c r="E182" s="7">
        <f t="shared" si="4"/>
        <v>-18.121992591434793</v>
      </c>
      <c r="F182" s="7">
        <f t="shared" si="2"/>
        <v>-144.6343404728639</v>
      </c>
      <c r="G182" s="7">
        <f>H20</f>
        <v>147.8410626763636</v>
      </c>
      <c r="H182" s="7">
        <f t="shared" si="5"/>
        <v>18.216472600934956</v>
      </c>
      <c r="I182" s="7">
        <f t="shared" si="3"/>
        <v>145.36288836371543</v>
      </c>
    </row>
    <row r="183" spans="1:9" ht="12.75">
      <c r="A183" s="39">
        <v>0.5</v>
      </c>
      <c r="B183" s="7">
        <f>(1000*C57/2)*A183</f>
        <v>350</v>
      </c>
      <c r="C183" s="7">
        <f>F22</f>
        <v>274.3007628072727</v>
      </c>
      <c r="D183" s="7">
        <f>G22</f>
        <v>-135.63156737454543</v>
      </c>
      <c r="E183" s="7">
        <f t="shared" si="4"/>
        <v>-19.235407819245854</v>
      </c>
      <c r="F183" s="7">
        <f t="shared" si="2"/>
        <v>-133.0980767831506</v>
      </c>
      <c r="G183" s="7">
        <f>H22</f>
        <v>138.66919543272724</v>
      </c>
      <c r="H183" s="7">
        <f t="shared" si="5"/>
        <v>19.666207342051315</v>
      </c>
      <c r="I183" s="7">
        <f t="shared" si="3"/>
        <v>135.96233379630874</v>
      </c>
    </row>
    <row r="184" spans="1:9" ht="12.75">
      <c r="A184" s="39">
        <v>0.4</v>
      </c>
      <c r="B184" s="7">
        <f>(1000*C57/2)*A184</f>
        <v>280</v>
      </c>
      <c r="C184" s="7">
        <f>F24</f>
        <v>251.2383827927272</v>
      </c>
      <c r="D184" s="7">
        <f>G24</f>
        <v>-122.24241069090907</v>
      </c>
      <c r="E184" s="7">
        <f t="shared" si="4"/>
        <v>-20.155277669211745</v>
      </c>
      <c r="F184" s="7">
        <f t="shared" si="2"/>
        <v>-119.73678928994325</v>
      </c>
      <c r="G184" s="7">
        <f>H24</f>
        <v>128.99597210181815</v>
      </c>
      <c r="H184" s="7">
        <f t="shared" si="5"/>
        <v>21.2688020567267</v>
      </c>
      <c r="I184" s="7">
        <f t="shared" si="3"/>
        <v>126.05376680513689</v>
      </c>
    </row>
    <row r="185" spans="1:9" ht="12.75">
      <c r="A185" s="39">
        <v>0.3</v>
      </c>
      <c r="B185" s="7">
        <f>(1000*C57/2)*A185</f>
        <v>210</v>
      </c>
      <c r="C185" s="7">
        <f>F26</f>
        <v>225.8756630836363</v>
      </c>
      <c r="D185" s="7">
        <f>G26</f>
        <v>-106.67088045090908</v>
      </c>
      <c r="E185" s="7">
        <f t="shared" si="4"/>
        <v>-20.372569115368968</v>
      </c>
      <c r="F185" s="7">
        <f t="shared" si="2"/>
        <v>-104.43733299830956</v>
      </c>
      <c r="G185" s="7">
        <f>H26</f>
        <v>119.20478263272726</v>
      </c>
      <c r="H185" s="7">
        <f t="shared" si="5"/>
        <v>22.766360067548067</v>
      </c>
      <c r="I185" s="7">
        <f t="shared" si="3"/>
        <v>116.09267014857973</v>
      </c>
    </row>
    <row r="186" spans="1:9" ht="12.75">
      <c r="A186" s="39">
        <v>0.2</v>
      </c>
      <c r="B186" s="7">
        <f>(1000*C57/2)*A186</f>
        <v>140</v>
      </c>
      <c r="C186" s="7">
        <f>F28</f>
        <v>198.03565447272726</v>
      </c>
      <c r="D186" s="7">
        <f>G28</f>
        <v>-89.09392586181816</v>
      </c>
      <c r="E186" s="7">
        <f t="shared" si="4"/>
        <v>-18.56246508232253</v>
      </c>
      <c r="F186" s="7">
        <f t="shared" si="2"/>
        <v>-87.54352711991932</v>
      </c>
      <c r="G186" s="7">
        <f>H28</f>
        <v>108.94172861090907</v>
      </c>
      <c r="H186" s="7">
        <f t="shared" si="5"/>
        <v>22.69769811787468</v>
      </c>
      <c r="I186" s="7">
        <f t="shared" si="3"/>
        <v>106.1145519000195</v>
      </c>
    </row>
    <row r="188" ht="12.75">
      <c r="A188" t="s">
        <v>152</v>
      </c>
    </row>
    <row r="189" spans="1:9" ht="12.75">
      <c r="A189" s="17" t="s">
        <v>165</v>
      </c>
      <c r="B189" s="17"/>
      <c r="C189" s="17"/>
      <c r="D189" s="17"/>
      <c r="E189" s="17"/>
      <c r="F189" s="17"/>
      <c r="G189" s="17"/>
      <c r="H189" s="28" t="s">
        <v>166</v>
      </c>
      <c r="I189" s="17"/>
    </row>
    <row r="190" spans="1:9" ht="12.75">
      <c r="A190" s="21" t="s">
        <v>147</v>
      </c>
      <c r="B190" s="17"/>
      <c r="C190" s="17" t="s">
        <v>153</v>
      </c>
      <c r="D190" s="17"/>
      <c r="E190" s="27" t="s">
        <v>176</v>
      </c>
      <c r="F190" s="4" t="s">
        <v>160</v>
      </c>
      <c r="G190" s="17" t="s">
        <v>161</v>
      </c>
      <c r="H190" s="4" t="s">
        <v>160</v>
      </c>
      <c r="I190" s="17" t="s">
        <v>161</v>
      </c>
    </row>
    <row r="191" spans="1:11" ht="15.75">
      <c r="A191" s="4" t="s">
        <v>101</v>
      </c>
      <c r="B191" s="4" t="s">
        <v>155</v>
      </c>
      <c r="C191" s="4" t="s">
        <v>156</v>
      </c>
      <c r="D191" s="25" t="s">
        <v>167</v>
      </c>
      <c r="E191" s="29" t="s">
        <v>177</v>
      </c>
      <c r="F191" s="26" t="s">
        <v>168</v>
      </c>
      <c r="G191" s="26" t="s">
        <v>170</v>
      </c>
      <c r="H191" s="26" t="s">
        <v>171</v>
      </c>
      <c r="I191" s="26" t="s">
        <v>172</v>
      </c>
      <c r="K191" s="26" t="s">
        <v>236</v>
      </c>
    </row>
    <row r="192" spans="2:9" ht="12.75">
      <c r="B192" s="4" t="s">
        <v>154</v>
      </c>
      <c r="C192" s="4" t="s">
        <v>154</v>
      </c>
      <c r="D192" s="4" t="s">
        <v>169</v>
      </c>
      <c r="E192" s="4" t="s">
        <v>154</v>
      </c>
      <c r="F192" s="4" t="s">
        <v>154</v>
      </c>
      <c r="G192" s="4" t="s">
        <v>154</v>
      </c>
      <c r="H192" s="4" t="s">
        <v>154</v>
      </c>
      <c r="I192" s="4" t="s">
        <v>154</v>
      </c>
    </row>
    <row r="193" spans="1:11" ht="12.75">
      <c r="A193" s="39">
        <v>1</v>
      </c>
      <c r="B193" s="7">
        <f>(1000*C57/2)*A193</f>
        <v>700</v>
      </c>
      <c r="C193" s="41">
        <f>1000*'optimális csavar jellemzői'!E26</f>
        <v>863.8</v>
      </c>
      <c r="D193" s="7">
        <f aca="true" t="shared" si="6" ref="D193:D201">ATAN(C193/(2*B193*PI()))*180/PI()</f>
        <v>11.111309839471405</v>
      </c>
      <c r="E193" s="7">
        <f>C193/(2*PI()*SIN(D193/(180/PI()))*COS(D193/(180/PI())))</f>
        <v>727.0003020557326</v>
      </c>
      <c r="F193" s="7">
        <f aca="true" t="shared" si="7" ref="F193:F201">F178*COS(D193/(180/PI()))</f>
        <v>-161.90681886028656</v>
      </c>
      <c r="G193" s="7">
        <f aca="true" t="shared" si="8" ref="G193:G201">I178*COS(D193/(180/PI()))</f>
        <v>161.90681886028656</v>
      </c>
      <c r="H193" s="7">
        <f>F178*SIN(D193/(180/PI()))</f>
        <v>-31.798045848703005</v>
      </c>
      <c r="I193" s="7">
        <f>I178*SIN(D193/(180/PI()))</f>
        <v>31.798045848703005</v>
      </c>
      <c r="K193" s="7">
        <f>POWER(POWER(B193/COS(D193/(180/PI())),2)+POWER((C193/(2*PI()))/COS(D193/(180/PI())),2),0.5)</f>
        <v>727.0003020557326</v>
      </c>
    </row>
    <row r="194" spans="1:11" ht="12.75">
      <c r="A194" s="39">
        <v>0.9</v>
      </c>
      <c r="B194" s="7">
        <f>(1000*C57/2)*A194</f>
        <v>630</v>
      </c>
      <c r="C194" s="41">
        <f>1000*'optimális csavar jellemzői'!E26</f>
        <v>863.8</v>
      </c>
      <c r="D194" s="7">
        <f t="shared" si="6"/>
        <v>12.310055422064044</v>
      </c>
      <c r="E194" s="7">
        <f>C194/(2*PI()*SIN(D194/(180/PI()))*COS(D194/(180/PI())))</f>
        <v>660.0003356174807</v>
      </c>
      <c r="F194" s="7">
        <f t="shared" si="7"/>
        <v>-160.59786001322112</v>
      </c>
      <c r="G194" s="7">
        <f t="shared" si="8"/>
        <v>160.59786001322112</v>
      </c>
      <c r="H194" s="7">
        <f>F179*SIN(D194/(180/PI()))</f>
        <v>-35.04552221835347</v>
      </c>
      <c r="I194" s="7">
        <f>I179*SIN(D194/(180/PI()))</f>
        <v>35.04552221835347</v>
      </c>
      <c r="K194" s="7">
        <f>POWER(POWER(B194/COS(D194/(180/PI())),2)+POWER((C194/(2*PI()))/COS(D194/(180/PI())),2),0.5)</f>
        <v>660.0003356174807</v>
      </c>
    </row>
    <row r="195" spans="1:11" ht="12.75">
      <c r="A195" s="39">
        <v>0.8</v>
      </c>
      <c r="B195" s="7">
        <f>(1000*C57/2)*A195</f>
        <v>560</v>
      </c>
      <c r="C195" s="41">
        <f>1000*'optimális csavar jellemzői'!E26</f>
        <v>863.8</v>
      </c>
      <c r="D195" s="7">
        <f t="shared" si="6"/>
        <v>13.793134083058607</v>
      </c>
      <c r="E195" s="7">
        <f aca="true" t="shared" si="9" ref="E195:E201">C195/(2*PI()*SIN(D195/(180/PI()))*COS(D195/(180/PI())))</f>
        <v>593.7503775696656</v>
      </c>
      <c r="F195" s="7">
        <f t="shared" si="7"/>
        <v>-155.68421207377244</v>
      </c>
      <c r="G195" s="7">
        <f t="shared" si="8"/>
        <v>155.68421207377244</v>
      </c>
      <c r="H195" s="7">
        <f>F180*SIN(D195/(180/PI()))</f>
        <v>-38.21992912566032</v>
      </c>
      <c r="I195" s="7">
        <f>I180*SIN(D195/(180/PI()))</f>
        <v>38.21992912566032</v>
      </c>
      <c r="K195" s="7">
        <f aca="true" t="shared" si="10" ref="K195:K201">POWER(POWER(B195/COS(D195/(180/PI())),2)+POWER((C195/(2*PI()))/COS(D195/(180/PI())),2),0.5)</f>
        <v>593.7503775696657</v>
      </c>
    </row>
    <row r="196" spans="1:11" ht="12.75">
      <c r="A196" s="39">
        <v>0.7</v>
      </c>
      <c r="B196" s="7">
        <f>(1000*C57/2)*A196</f>
        <v>489.99999999999994</v>
      </c>
      <c r="C196" s="41">
        <f>1000*'optimális csavar jellemzői'!E26</f>
        <v>863.8</v>
      </c>
      <c r="D196" s="7">
        <f t="shared" si="6"/>
        <v>15.67238968030042</v>
      </c>
      <c r="E196" s="7">
        <f t="shared" si="9"/>
        <v>528.571860079618</v>
      </c>
      <c r="F196" s="7">
        <f t="shared" si="7"/>
        <v>-148.12010438070973</v>
      </c>
      <c r="G196" s="7">
        <f t="shared" si="8"/>
        <v>148.12010438070973</v>
      </c>
      <c r="H196" s="7">
        <f>F181*SIN(D196/(180/PI()))</f>
        <v>-41.55767675830168</v>
      </c>
      <c r="I196" s="7">
        <f>I181*SIN(D196/(180/PI()))</f>
        <v>41.55767675830168</v>
      </c>
      <c r="K196" s="7">
        <f t="shared" si="10"/>
        <v>528.5718600796179</v>
      </c>
    </row>
    <row r="197" spans="1:11" ht="12.75">
      <c r="A197" s="39">
        <v>0.6</v>
      </c>
      <c r="B197" s="7">
        <f>(1000*C57/2)*A197</f>
        <v>420</v>
      </c>
      <c r="C197" s="41">
        <f>1000*'optimális csavar jellemzői'!E26</f>
        <v>863.8</v>
      </c>
      <c r="D197" s="7">
        <f t="shared" si="6"/>
        <v>18.124755194337386</v>
      </c>
      <c r="E197" s="7">
        <f t="shared" si="9"/>
        <v>465.0005034262209</v>
      </c>
      <c r="F197" s="7">
        <f t="shared" si="7"/>
        <v>-137.45778874601865</v>
      </c>
      <c r="G197" s="7">
        <f t="shared" si="8"/>
        <v>138.15018711935528</v>
      </c>
      <c r="H197" s="7">
        <f>0.3+F182*SIN(D197/(180/PI()))</f>
        <v>-44.69387466172732</v>
      </c>
      <c r="I197" s="7">
        <f>0.6+I182*SIN(D197/(180/PI()))</f>
        <v>45.82051649781458</v>
      </c>
      <c r="K197" s="7">
        <f t="shared" si="10"/>
        <v>465.0005034262209</v>
      </c>
    </row>
    <row r="198" spans="1:11" ht="12.75">
      <c r="A198" s="39">
        <v>0.5</v>
      </c>
      <c r="B198" s="7">
        <f>(1000*C57/2)*A198</f>
        <v>350</v>
      </c>
      <c r="C198" s="41">
        <f>1000*'optimális csavar jellemzői'!E26</f>
        <v>863.8</v>
      </c>
      <c r="D198" s="7">
        <f t="shared" si="6"/>
        <v>21.444621981610943</v>
      </c>
      <c r="E198" s="7">
        <f t="shared" si="9"/>
        <v>404.0006041114651</v>
      </c>
      <c r="F198" s="7">
        <f t="shared" si="7"/>
        <v>-123.88387891421313</v>
      </c>
      <c r="G198" s="7">
        <f t="shared" si="8"/>
        <v>126.54984733068683</v>
      </c>
      <c r="H198" s="7">
        <f>0.6+F183*SIN(D198/(180/PI()))</f>
        <v>-48.060893832132074</v>
      </c>
      <c r="I198" s="7">
        <f>1.1+I183*SIN(D198/(180/PI()))</f>
        <v>50.80807129550225</v>
      </c>
      <c r="K198" s="7">
        <f t="shared" si="10"/>
        <v>404.00060411146507</v>
      </c>
    </row>
    <row r="199" spans="1:11" ht="12.75">
      <c r="A199" s="39">
        <v>0.4</v>
      </c>
      <c r="B199" s="7">
        <f>(1000*C57/2)*A199</f>
        <v>280</v>
      </c>
      <c r="C199" s="41">
        <f>1000*'optimális csavar jellemzői'!E26</f>
        <v>863.8</v>
      </c>
      <c r="D199" s="7">
        <f t="shared" si="6"/>
        <v>26.150715109100457</v>
      </c>
      <c r="E199" s="7">
        <f t="shared" si="9"/>
        <v>347.5007551393313</v>
      </c>
      <c r="F199" s="7">
        <f t="shared" si="7"/>
        <v>-107.48026976742288</v>
      </c>
      <c r="G199" s="7">
        <f t="shared" si="8"/>
        <v>113.15062765386725</v>
      </c>
      <c r="H199" s="7">
        <f>1.2+F184*SIN(D199/(180/PI()))</f>
        <v>-51.572060033565776</v>
      </c>
      <c r="I199" s="7">
        <f>1.6+I184*SIN(D199/(180/PI()))</f>
        <v>57.15616606012084</v>
      </c>
      <c r="K199" s="7">
        <f t="shared" si="10"/>
        <v>347.5007551393314</v>
      </c>
    </row>
    <row r="200" spans="1:11" ht="12.75">
      <c r="A200" s="39">
        <v>0.3</v>
      </c>
      <c r="B200" s="7">
        <f>(1000*C57/2)*A200</f>
        <v>210</v>
      </c>
      <c r="C200" s="41">
        <f>1000*'optimális csavar jellemzői'!E26</f>
        <v>863.8</v>
      </c>
      <c r="D200" s="7">
        <f t="shared" si="6"/>
        <v>33.21105762770806</v>
      </c>
      <c r="E200" s="7">
        <f t="shared" si="9"/>
        <v>300.00100685244183</v>
      </c>
      <c r="F200" s="7">
        <f t="shared" si="7"/>
        <v>-87.37839516905255</v>
      </c>
      <c r="G200" s="7">
        <f t="shared" si="8"/>
        <v>97.12993349454129</v>
      </c>
      <c r="H200" s="7">
        <f>1.8+F185*SIN(D200/(180/PI()))</f>
        <v>-55.402907106900535</v>
      </c>
      <c r="I200" s="7">
        <f>2+I185*SIN(D200/(180/PI()))</f>
        <v>65.58682317566209</v>
      </c>
      <c r="K200" s="7">
        <f t="shared" si="10"/>
        <v>300.00100685244183</v>
      </c>
    </row>
    <row r="201" spans="1:11" ht="12.75">
      <c r="A201" s="39">
        <v>0.2</v>
      </c>
      <c r="B201" s="7">
        <f>(1000*C57/2)*A201</f>
        <v>140</v>
      </c>
      <c r="C201" s="41">
        <f>1000*'optimális csavar jellemzői'!E26</f>
        <v>863.8</v>
      </c>
      <c r="D201" s="7">
        <f t="shared" si="6"/>
        <v>44.479260792938334</v>
      </c>
      <c r="E201" s="7">
        <f t="shared" si="9"/>
        <v>275.00151027866275</v>
      </c>
      <c r="F201" s="7">
        <f t="shared" si="7"/>
        <v>-62.46266629547178</v>
      </c>
      <c r="G201" s="7">
        <f t="shared" si="8"/>
        <v>75.71316877997121</v>
      </c>
      <c r="H201" s="7">
        <f>2.2+F186*SIN(D201/(180/PI()))</f>
        <v>-59.13746375467919</v>
      </c>
      <c r="I201" s="7">
        <f>3+I186*SIN(D201/(180/PI()))</f>
        <v>77.34927167254246</v>
      </c>
      <c r="K201" s="7">
        <f t="shared" si="10"/>
        <v>275.0015102786627</v>
      </c>
    </row>
    <row r="203" ht="12.75">
      <c r="A203" t="s">
        <v>173</v>
      </c>
    </row>
    <row r="204" ht="12.75">
      <c r="B204" t="s">
        <v>174</v>
      </c>
    </row>
    <row r="205" ht="12.75">
      <c r="B205" t="s">
        <v>175</v>
      </c>
    </row>
    <row r="224" ht="12.75">
      <c r="A224" t="s">
        <v>228</v>
      </c>
    </row>
    <row r="225" spans="4:5" ht="15.75">
      <c r="D225" s="4" t="s">
        <v>101</v>
      </c>
      <c r="E225" s="4" t="s">
        <v>230</v>
      </c>
    </row>
    <row r="226" spans="4:5" ht="12.75">
      <c r="D226" s="30">
        <v>1</v>
      </c>
      <c r="E226" s="7">
        <f>0.717*0</f>
        <v>0</v>
      </c>
    </row>
    <row r="227" spans="4:5" ht="12.75">
      <c r="D227" s="30">
        <v>0.9</v>
      </c>
      <c r="E227" s="7">
        <f>0.01*0.717*G97*(B96+N96)</f>
        <v>59.556104352894536</v>
      </c>
    </row>
    <row r="228" spans="4:5" ht="12.75">
      <c r="D228" s="30">
        <v>0.8</v>
      </c>
      <c r="E228" s="7">
        <f>0.01*0.717*G99*(B98+N98)</f>
        <v>86.1244916687965</v>
      </c>
    </row>
    <row r="229" spans="4:5" ht="12.75">
      <c r="D229" s="30">
        <v>0.7</v>
      </c>
      <c r="E229" s="7">
        <f>0.01*0.717*G101*(B100+N100)</f>
        <v>109.6843071660122</v>
      </c>
    </row>
    <row r="230" spans="4:5" ht="12.75">
      <c r="D230" s="30">
        <v>0.6</v>
      </c>
      <c r="E230" s="7">
        <f>0.01*0.717*G103*(B102+N102)</f>
        <v>122.64349556072725</v>
      </c>
    </row>
    <row r="231" spans="4:5" ht="12.75">
      <c r="D231" s="30">
        <v>0.5</v>
      </c>
      <c r="E231" s="7">
        <f>0.01*0.717*G105*(B104+N104)</f>
        <v>124.88776580233723</v>
      </c>
    </row>
    <row r="232" spans="4:5" ht="12.75">
      <c r="D232" s="30">
        <v>0.4</v>
      </c>
      <c r="E232" s="7">
        <f>0.01*0.717*G107*(B106+N106)</f>
        <v>119.7917171074863</v>
      </c>
    </row>
    <row r="233" spans="4:5" ht="12.75">
      <c r="D233" s="30">
        <v>0.3</v>
      </c>
      <c r="E233" s="7">
        <f>0.01*0.717*G109*(B108+N108)</f>
        <v>111.7474667973674</v>
      </c>
    </row>
    <row r="234" spans="4:5" ht="12.75">
      <c r="D234" s="30">
        <v>0.2</v>
      </c>
      <c r="E234" s="7">
        <f>0.01*0.717*G111*(B110+N110)</f>
        <v>99.39409497986182</v>
      </c>
    </row>
    <row r="235" spans="2:6" ht="15.75">
      <c r="B235" t="s">
        <v>229</v>
      </c>
      <c r="D235" s="4" t="s">
        <v>231</v>
      </c>
      <c r="E235" s="13">
        <f>9.806*7800*0.05*C57*POWER(10,-4)*(0.5*E226+SUM(E227,E233)+0.5*E234)</f>
        <v>118.3254108246609</v>
      </c>
      <c r="F235" t="s">
        <v>20</v>
      </c>
    </row>
    <row r="236" spans="2:6" ht="15.75">
      <c r="B236" t="s">
        <v>232</v>
      </c>
      <c r="D236" s="4" t="s">
        <v>233</v>
      </c>
      <c r="E236" s="13">
        <f>9.806*2700*0.15*(POWER(0.28,2)*PI()/4-POWER(0.16,2)*PI()/4)</f>
        <v>164.69132212164868</v>
      </c>
      <c r="F236" t="s">
        <v>20</v>
      </c>
    </row>
    <row r="237" spans="2:6" ht="15.75">
      <c r="B237" t="s">
        <v>234</v>
      </c>
      <c r="D237" s="4" t="s">
        <v>235</v>
      </c>
      <c r="E237" s="13">
        <f>'kavitáció és szilárdság'!B28*E235+E236</f>
        <v>637.9929654202923</v>
      </c>
      <c r="F237" t="s">
        <v>20</v>
      </c>
    </row>
  </sheetData>
  <printOptions/>
  <pageMargins left="0.75" right="0.75" top="1" bottom="1" header="0.5" footer="0.5"/>
  <pageSetup horizontalDpi="600" verticalDpi="600" orientation="portrait" paperSize="9" r:id="rId2"/>
  <ignoredErrors>
    <ignoredError sqref="G109 G111 K111 G105 G103 G101 G99 G9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jozsibacsi</dc:creator>
  <cp:keywords/>
  <dc:description/>
  <cp:lastModifiedBy>jozsibacsi</cp:lastModifiedBy>
  <cp:lastPrinted>2013-11-26T13:29:19Z</cp:lastPrinted>
  <dcterms:created xsi:type="dcterms:W3CDTF">2012-02-09T12:04:35Z</dcterms:created>
  <dcterms:modified xsi:type="dcterms:W3CDTF">2013-11-26T13:36:21Z</dcterms:modified>
  <cp:category/>
  <cp:version/>
  <cp:contentType/>
  <cp:contentStatus/>
</cp:coreProperties>
</file>