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Előlap" sheetId="1" r:id="rId1"/>
    <sheet name="Számításmenet" sheetId="2" r:id="rId2"/>
    <sheet name="Mérettábla" sheetId="3" r:id="rId3"/>
    <sheet name="Vízvonalak" sheetId="4" r:id="rId4"/>
    <sheet name="Bordák" sheetId="5" r:id="rId5"/>
    <sheet name="Stabil 0" sheetId="6" r:id="rId6"/>
    <sheet name="Stabil 1" sheetId="7" r:id="rId7"/>
    <sheet name="Stabil M" sheetId="8" r:id="rId8"/>
    <sheet name="Sztat.stab." sheetId="9" r:id="rId9"/>
    <sheet name="Ker.stab.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<sst xmlns="http://schemas.openxmlformats.org/spreadsheetml/2006/main" count="2652" uniqueCount="260">
  <si>
    <r>
      <t>A számítás menete fi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dőlésszögnél</t>
    </r>
  </si>
  <si>
    <t>Kiemelkedő-bemerülő térfogat, merüléskorrekció, vízvonal</t>
  </si>
  <si>
    <t>x</t>
  </si>
  <si>
    <t>y</t>
  </si>
  <si>
    <t>z</t>
  </si>
  <si>
    <t>WL10</t>
  </si>
  <si>
    <t>WL9</t>
  </si>
  <si>
    <t>WL8</t>
  </si>
  <si>
    <t>WL7</t>
  </si>
  <si>
    <t>CWL</t>
  </si>
  <si>
    <t>WL6</t>
  </si>
  <si>
    <t>WL5</t>
  </si>
  <si>
    <t>WL4</t>
  </si>
  <si>
    <t>WL3</t>
  </si>
  <si>
    <t>WL2</t>
  </si>
  <si>
    <t>WL1</t>
  </si>
  <si>
    <t>Terület</t>
  </si>
  <si>
    <t>Súlypont helye</t>
  </si>
  <si>
    <t>Nyomaték</t>
  </si>
  <si>
    <t>m</t>
  </si>
  <si>
    <t>Súlypont</t>
  </si>
  <si>
    <t>x=0</t>
  </si>
  <si>
    <t>Vízkiszorítás térfogata</t>
  </si>
  <si>
    <t>Bordametszet helye</t>
  </si>
  <si>
    <t>m az alapvonal felett</t>
  </si>
  <si>
    <t>Inercia</t>
  </si>
  <si>
    <t>Térfogat nyomatéka</t>
  </si>
  <si>
    <t>Metacentrikus sugár</t>
  </si>
  <si>
    <t>Hosszirányú metacentrikus sugár</t>
  </si>
  <si>
    <t>Teltség</t>
  </si>
  <si>
    <t>WL0</t>
  </si>
  <si>
    <t>WL05</t>
  </si>
  <si>
    <t>m a hajóközéptől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</si>
  <si>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</si>
  <si>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</si>
  <si>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4</t>
    </r>
  </si>
  <si>
    <r>
      <t>m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az alapvonalra</t>
    </r>
  </si>
  <si>
    <r>
      <t>m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a hajóközépre</t>
    </r>
  </si>
  <si>
    <r>
      <t>A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= </t>
    </r>
  </si>
  <si>
    <r>
      <t>A</t>
    </r>
    <r>
      <rPr>
        <vertAlign val="subscript"/>
        <sz val="10"/>
        <rFont val="Arial"/>
        <family val="2"/>
      </rPr>
      <t>0e</t>
    </r>
    <r>
      <rPr>
        <sz val="10"/>
        <rFont val="Arial"/>
        <family val="0"/>
      </rPr>
      <t xml:space="preserve">= </t>
    </r>
  </si>
  <si>
    <r>
      <t>A</t>
    </r>
    <r>
      <rPr>
        <vertAlign val="subscript"/>
        <sz val="10"/>
        <rFont val="Arial"/>
        <family val="2"/>
      </rPr>
      <t>0h</t>
    </r>
    <r>
      <rPr>
        <sz val="10"/>
        <rFont val="Arial"/>
        <family val="0"/>
      </rPr>
      <t xml:space="preserve">= </t>
    </r>
  </si>
  <si>
    <r>
      <t>A</t>
    </r>
    <r>
      <rPr>
        <vertAlign val="subscript"/>
        <sz val="10"/>
        <rFont val="Arial"/>
        <family val="2"/>
      </rPr>
      <t>00</t>
    </r>
    <r>
      <rPr>
        <sz val="10"/>
        <rFont val="Arial"/>
        <family val="0"/>
      </rPr>
      <t xml:space="preserve">= </t>
    </r>
  </si>
  <si>
    <r>
      <t>M</t>
    </r>
    <r>
      <rPr>
        <vertAlign val="subscript"/>
        <sz val="10"/>
        <rFont val="Arial"/>
        <family val="2"/>
      </rPr>
      <t>0x</t>
    </r>
    <r>
      <rPr>
        <sz val="10"/>
        <rFont val="Arial"/>
        <family val="0"/>
      </rPr>
      <t xml:space="preserve">= </t>
    </r>
  </si>
  <si>
    <r>
      <t>M</t>
    </r>
    <r>
      <rPr>
        <vertAlign val="subscript"/>
        <sz val="10"/>
        <rFont val="Arial"/>
        <family val="2"/>
      </rPr>
      <t>0y</t>
    </r>
    <r>
      <rPr>
        <sz val="10"/>
        <rFont val="Arial"/>
        <family val="0"/>
      </rPr>
      <t xml:space="preserve">= </t>
    </r>
  </si>
  <si>
    <r>
      <t>x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=</t>
    </r>
  </si>
  <si>
    <r>
      <t>y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=</t>
    </r>
  </si>
  <si>
    <r>
      <t>I</t>
    </r>
    <r>
      <rPr>
        <vertAlign val="subscript"/>
        <sz val="10"/>
        <rFont val="Arial"/>
        <family val="2"/>
      </rPr>
      <t>L0</t>
    </r>
    <r>
      <rPr>
        <sz val="10"/>
        <rFont val="Arial"/>
        <family val="0"/>
      </rPr>
      <t xml:space="preserve"> =</t>
    </r>
  </si>
  <si>
    <r>
      <t>I</t>
    </r>
    <r>
      <rPr>
        <vertAlign val="subscript"/>
        <sz val="10"/>
        <rFont val="Arial"/>
        <family val="2"/>
      </rPr>
      <t>T0</t>
    </r>
    <r>
      <rPr>
        <sz val="10"/>
        <rFont val="Arial"/>
        <family val="0"/>
      </rPr>
      <t xml:space="preserve"> =</t>
    </r>
  </si>
  <si>
    <r>
      <t>C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</si>
  <si>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I</t>
    </r>
    <r>
      <rPr>
        <vertAlign val="subscript"/>
        <sz val="10"/>
        <rFont val="Arial"/>
        <family val="2"/>
      </rPr>
      <t>T0saját</t>
    </r>
    <r>
      <rPr>
        <sz val="10"/>
        <rFont val="Arial"/>
        <family val="0"/>
      </rPr>
      <t xml:space="preserve"> =</t>
    </r>
  </si>
  <si>
    <r>
      <t>I</t>
    </r>
    <r>
      <rPr>
        <vertAlign val="subscript"/>
        <sz val="10"/>
        <rFont val="Arial"/>
        <family val="2"/>
      </rPr>
      <t>L0saját</t>
    </r>
    <r>
      <rPr>
        <sz val="10"/>
        <rFont val="Arial"/>
        <family val="0"/>
      </rPr>
      <t xml:space="preserve"> =</t>
    </r>
  </si>
  <si>
    <t>Dőlésszög φ (fok)</t>
  </si>
  <si>
    <t>Vízvonal felülete</t>
  </si>
  <si>
    <t>Merüléskorrekció</t>
  </si>
  <si>
    <r>
      <t>KB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</si>
  <si>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t>m a főbordától</t>
  </si>
  <si>
    <r>
      <t>m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a főbordára</t>
    </r>
  </si>
  <si>
    <r>
      <t>BM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</si>
  <si>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BM</t>
    </r>
    <r>
      <rPr>
        <vertAlign val="subscript"/>
        <sz val="10"/>
        <rFont val="Arial"/>
        <family val="2"/>
      </rPr>
      <t>L0</t>
    </r>
    <r>
      <rPr>
        <sz val="10"/>
        <rFont val="Arial"/>
        <family val="0"/>
      </rPr>
      <t xml:space="preserve"> =</t>
    </r>
  </si>
  <si>
    <t>Stabilitás karja</t>
  </si>
  <si>
    <r>
      <t>A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0"/>
      </rPr>
      <t xml:space="preserve">= </t>
    </r>
  </si>
  <si>
    <r>
      <t>GZ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</si>
  <si>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t>Kezdeti metacentrikus magasság</t>
  </si>
  <si>
    <t>fok</t>
  </si>
  <si>
    <t>–</t>
  </si>
  <si>
    <t>KG =</t>
  </si>
  <si>
    <r>
      <t>A</t>
    </r>
    <r>
      <rPr>
        <vertAlign val="subscript"/>
        <sz val="10"/>
        <rFont val="Arial"/>
        <family val="2"/>
      </rPr>
      <t>CWL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</si>
  <si>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>WL5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</si>
  <si>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>WL8</t>
    </r>
    <r>
      <rPr>
        <sz val="10"/>
        <rFont val="Arial"/>
        <family val="2"/>
      </rPr>
      <t>=</t>
    </r>
  </si>
  <si>
    <r>
      <t>M</t>
    </r>
    <r>
      <rPr>
        <vertAlign val="subscript"/>
        <sz val="10"/>
        <rFont val="Arial"/>
        <family val="2"/>
      </rPr>
      <t>zWL5</t>
    </r>
    <r>
      <rPr>
        <sz val="10"/>
        <rFont val="Arial"/>
        <family val="0"/>
      </rPr>
      <t>=</t>
    </r>
  </si>
  <si>
    <r>
      <t>M</t>
    </r>
    <r>
      <rPr>
        <vertAlign val="subscript"/>
        <sz val="10"/>
        <rFont val="Arial"/>
        <family val="2"/>
      </rPr>
      <t>zCWL</t>
    </r>
    <r>
      <rPr>
        <sz val="10"/>
        <rFont val="Arial"/>
        <family val="0"/>
      </rPr>
      <t>=</t>
    </r>
  </si>
  <si>
    <r>
      <t>M</t>
    </r>
    <r>
      <rPr>
        <vertAlign val="subscript"/>
        <sz val="10"/>
        <rFont val="Arial"/>
        <family val="2"/>
      </rPr>
      <t>zWL8</t>
    </r>
    <r>
      <rPr>
        <sz val="10"/>
        <rFont val="Arial"/>
        <family val="0"/>
      </rPr>
      <t>=</t>
    </r>
  </si>
  <si>
    <r>
      <t>z</t>
    </r>
    <r>
      <rPr>
        <vertAlign val="subscript"/>
        <sz val="10"/>
        <rFont val="Arial"/>
        <family val="2"/>
      </rPr>
      <t>WL5</t>
    </r>
    <r>
      <rPr>
        <sz val="10"/>
        <rFont val="Arial"/>
        <family val="0"/>
      </rPr>
      <t>=</t>
    </r>
  </si>
  <si>
    <r>
      <t>z</t>
    </r>
    <r>
      <rPr>
        <vertAlign val="subscript"/>
        <sz val="10"/>
        <rFont val="Arial"/>
        <family val="2"/>
      </rPr>
      <t>CWL</t>
    </r>
    <r>
      <rPr>
        <sz val="10"/>
        <rFont val="Arial"/>
        <family val="0"/>
      </rPr>
      <t>=</t>
    </r>
  </si>
  <si>
    <t>Súlypontmagasság, z</t>
  </si>
  <si>
    <t>Súlypont HK-től, y</t>
  </si>
  <si>
    <r>
      <t>V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</si>
  <si>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M</t>
    </r>
    <r>
      <rPr>
        <vertAlign val="subscript"/>
        <sz val="10"/>
        <rFont val="Arial"/>
        <family val="2"/>
      </rPr>
      <t>x0</t>
    </r>
    <r>
      <rPr>
        <sz val="10"/>
        <rFont val="Arial"/>
        <family val="0"/>
      </rPr>
      <t xml:space="preserve"> =</t>
    </r>
  </si>
  <si>
    <r>
      <t>M</t>
    </r>
    <r>
      <rPr>
        <vertAlign val="subscript"/>
        <sz val="10"/>
        <rFont val="Arial"/>
        <family val="2"/>
      </rPr>
      <t>z0</t>
    </r>
    <r>
      <rPr>
        <sz val="10"/>
        <rFont val="Arial"/>
        <family val="0"/>
      </rPr>
      <t xml:space="preserve"> =</t>
    </r>
  </si>
  <si>
    <r>
      <t>x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</si>
  <si>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GM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</si>
  <si>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t>Rendszers.p. vízk.s.p. felett</t>
  </si>
  <si>
    <r>
      <t>GB</t>
    </r>
    <r>
      <rPr>
        <vertAlign val="subscript"/>
        <sz val="10"/>
        <rFont val="Arial"/>
        <family val="2"/>
      </rPr>
      <t>0</t>
    </r>
  </si>
  <si>
    <t>Kiemelkedő felület, A</t>
  </si>
  <si>
    <t>Bemerülő felület, A</t>
  </si>
  <si>
    <r>
      <t>Kiemelkedő szél., b</t>
    </r>
    <r>
      <rPr>
        <vertAlign val="subscript"/>
        <sz val="10"/>
        <rFont val="Arial"/>
        <family val="2"/>
      </rPr>
      <t>ki</t>
    </r>
  </si>
  <si>
    <r>
      <t>Bemerülő szél., b</t>
    </r>
    <r>
      <rPr>
        <vertAlign val="subscript"/>
        <sz val="10"/>
        <rFont val="Arial"/>
        <family val="2"/>
      </rPr>
      <t>be</t>
    </r>
  </si>
  <si>
    <t>Kiemelkedő vízk.térfogata</t>
  </si>
  <si>
    <r>
      <t>V</t>
    </r>
    <r>
      <rPr>
        <vertAlign val="subscript"/>
        <sz val="10"/>
        <rFont val="Arial"/>
        <family val="2"/>
      </rPr>
      <t>ki</t>
    </r>
    <r>
      <rPr>
        <sz val="10"/>
        <rFont val="Arial"/>
        <family val="0"/>
      </rPr>
      <t xml:space="preserve"> =</t>
    </r>
  </si>
  <si>
    <t>Kiemelkedő vízk.nyomatéka</t>
  </si>
  <si>
    <r>
      <t>M</t>
    </r>
    <r>
      <rPr>
        <vertAlign val="subscript"/>
        <sz val="10"/>
        <rFont val="Arial"/>
        <family val="2"/>
      </rPr>
      <t>xki</t>
    </r>
    <r>
      <rPr>
        <sz val="10"/>
        <rFont val="Arial"/>
        <family val="2"/>
      </rPr>
      <t xml:space="preserve"> =</t>
    </r>
  </si>
  <si>
    <r>
      <t>m</t>
    </r>
    <r>
      <rPr>
        <vertAlign val="superscript"/>
        <sz val="10"/>
        <rFont val="Arial"/>
        <family val="2"/>
      </rPr>
      <t>4</t>
    </r>
  </si>
  <si>
    <r>
      <t>M</t>
    </r>
    <r>
      <rPr>
        <vertAlign val="subscript"/>
        <sz val="10"/>
        <rFont val="Arial"/>
        <family val="2"/>
      </rPr>
      <t>yki</t>
    </r>
    <r>
      <rPr>
        <sz val="10"/>
        <rFont val="Arial"/>
        <family val="2"/>
      </rPr>
      <t xml:space="preserve"> =</t>
    </r>
  </si>
  <si>
    <r>
      <t>M</t>
    </r>
    <r>
      <rPr>
        <vertAlign val="subscript"/>
        <sz val="10"/>
        <rFont val="Arial"/>
        <family val="2"/>
      </rPr>
      <t>zki</t>
    </r>
    <r>
      <rPr>
        <sz val="10"/>
        <rFont val="Arial"/>
        <family val="2"/>
      </rPr>
      <t xml:space="preserve"> =</t>
    </r>
  </si>
  <si>
    <t>Kiemelkedő vízk.súlypont</t>
  </si>
  <si>
    <r>
      <t>x</t>
    </r>
    <r>
      <rPr>
        <vertAlign val="subscript"/>
        <sz val="10"/>
        <rFont val="Arial"/>
        <family val="2"/>
      </rPr>
      <t>ki</t>
    </r>
    <r>
      <rPr>
        <sz val="10"/>
        <rFont val="Arial"/>
        <family val="2"/>
      </rPr>
      <t xml:space="preserve"> =</t>
    </r>
  </si>
  <si>
    <r>
      <t>y</t>
    </r>
    <r>
      <rPr>
        <vertAlign val="subscript"/>
        <sz val="10"/>
        <rFont val="Arial"/>
        <family val="2"/>
      </rPr>
      <t>ki</t>
    </r>
    <r>
      <rPr>
        <sz val="10"/>
        <rFont val="Arial"/>
        <family val="2"/>
      </rPr>
      <t xml:space="preserve"> =</t>
    </r>
  </si>
  <si>
    <r>
      <t>z</t>
    </r>
    <r>
      <rPr>
        <vertAlign val="subscript"/>
        <sz val="10"/>
        <rFont val="Arial"/>
        <family val="2"/>
      </rPr>
      <t>ki</t>
    </r>
    <r>
      <rPr>
        <sz val="10"/>
        <rFont val="Arial"/>
        <family val="2"/>
      </rPr>
      <t xml:space="preserve"> =</t>
    </r>
  </si>
  <si>
    <t>Bemerülő vízk.térfogata</t>
  </si>
  <si>
    <t>Bemerülő vízk.nyomatéka</t>
  </si>
  <si>
    <t>Bemerülő vízk.súlypont</t>
  </si>
  <si>
    <r>
      <t>V</t>
    </r>
    <r>
      <rPr>
        <vertAlign val="subscript"/>
        <sz val="10"/>
        <rFont val="Arial"/>
        <family val="2"/>
      </rPr>
      <t>be</t>
    </r>
    <r>
      <rPr>
        <sz val="10"/>
        <rFont val="Arial"/>
        <family val="0"/>
      </rPr>
      <t xml:space="preserve"> =</t>
    </r>
  </si>
  <si>
    <r>
      <t>M</t>
    </r>
    <r>
      <rPr>
        <vertAlign val="subscript"/>
        <sz val="10"/>
        <rFont val="Arial"/>
        <family val="2"/>
      </rPr>
      <t>xbe</t>
    </r>
    <r>
      <rPr>
        <sz val="10"/>
        <rFont val="Arial"/>
        <family val="2"/>
      </rPr>
      <t xml:space="preserve"> =</t>
    </r>
  </si>
  <si>
    <r>
      <t>M</t>
    </r>
    <r>
      <rPr>
        <vertAlign val="subscript"/>
        <sz val="10"/>
        <rFont val="Arial"/>
        <family val="2"/>
      </rPr>
      <t>ybe</t>
    </r>
    <r>
      <rPr>
        <sz val="10"/>
        <rFont val="Arial"/>
        <family val="2"/>
      </rPr>
      <t xml:space="preserve"> =</t>
    </r>
  </si>
  <si>
    <r>
      <t>M</t>
    </r>
    <r>
      <rPr>
        <vertAlign val="subscript"/>
        <sz val="10"/>
        <rFont val="Arial"/>
        <family val="2"/>
      </rPr>
      <t>zbe</t>
    </r>
    <r>
      <rPr>
        <sz val="10"/>
        <rFont val="Arial"/>
        <family val="2"/>
      </rPr>
      <t xml:space="preserve"> =</t>
    </r>
  </si>
  <si>
    <r>
      <t>x</t>
    </r>
    <r>
      <rPr>
        <vertAlign val="subscript"/>
        <sz val="10"/>
        <rFont val="Arial"/>
        <family val="2"/>
      </rPr>
      <t>be</t>
    </r>
    <r>
      <rPr>
        <sz val="10"/>
        <rFont val="Arial"/>
        <family val="2"/>
      </rPr>
      <t xml:space="preserve"> =</t>
    </r>
  </si>
  <si>
    <r>
      <t>y</t>
    </r>
    <r>
      <rPr>
        <vertAlign val="subscript"/>
        <sz val="10"/>
        <rFont val="Arial"/>
        <family val="2"/>
      </rPr>
      <t>be</t>
    </r>
    <r>
      <rPr>
        <sz val="10"/>
        <rFont val="Arial"/>
        <family val="2"/>
      </rPr>
      <t xml:space="preserve"> =</t>
    </r>
  </si>
  <si>
    <r>
      <t>z</t>
    </r>
    <r>
      <rPr>
        <vertAlign val="subscript"/>
        <sz val="10"/>
        <rFont val="Arial"/>
        <family val="2"/>
      </rPr>
      <t>be</t>
    </r>
    <r>
      <rPr>
        <sz val="10"/>
        <rFont val="Arial"/>
        <family val="2"/>
      </rPr>
      <t xml:space="preserve"> =</t>
    </r>
  </si>
  <si>
    <r>
      <t>A</t>
    </r>
    <r>
      <rPr>
        <vertAlign val="subscript"/>
        <sz val="10"/>
        <rFont val="Arial"/>
        <family val="2"/>
      </rPr>
      <t>WL</t>
    </r>
    <r>
      <rPr>
        <sz val="10"/>
        <rFont val="Arial"/>
        <family val="2"/>
      </rPr>
      <t xml:space="preserve"> =</t>
    </r>
  </si>
  <si>
    <r>
      <t>x</t>
    </r>
    <r>
      <rPr>
        <vertAlign val="subscript"/>
        <sz val="10"/>
        <rFont val="Arial"/>
        <family val="2"/>
      </rPr>
      <t>AWL</t>
    </r>
    <r>
      <rPr>
        <sz val="10"/>
        <rFont val="Arial"/>
        <family val="2"/>
      </rPr>
      <t xml:space="preserve"> =</t>
    </r>
  </si>
  <si>
    <r>
      <t>y</t>
    </r>
    <r>
      <rPr>
        <vertAlign val="subscript"/>
        <sz val="10"/>
        <rFont val="Arial"/>
        <family val="2"/>
      </rPr>
      <t>AWL</t>
    </r>
    <r>
      <rPr>
        <sz val="10"/>
        <rFont val="Arial"/>
        <family val="2"/>
      </rPr>
      <t xml:space="preserve"> =</t>
    </r>
  </si>
  <si>
    <t xml:space="preserve">Vízvonalfelület nyomatéka </t>
  </si>
  <si>
    <r>
      <t>M</t>
    </r>
    <r>
      <rPr>
        <vertAlign val="subscript"/>
        <sz val="10"/>
        <rFont val="Arial"/>
        <family val="2"/>
      </rPr>
      <t>xWL</t>
    </r>
    <r>
      <rPr>
        <sz val="10"/>
        <rFont val="Arial"/>
        <family val="2"/>
      </rPr>
      <t xml:space="preserve"> =</t>
    </r>
  </si>
  <si>
    <r>
      <t>M</t>
    </r>
    <r>
      <rPr>
        <vertAlign val="subscript"/>
        <sz val="10"/>
        <rFont val="Arial"/>
        <family val="2"/>
      </rPr>
      <t>yWL</t>
    </r>
    <r>
      <rPr>
        <sz val="10"/>
        <rFont val="Arial"/>
        <family val="2"/>
      </rPr>
      <t xml:space="preserve"> =</t>
    </r>
  </si>
  <si>
    <t>dT =</t>
  </si>
  <si>
    <t>Korrigált vízv. metsz.p. koord.</t>
  </si>
  <si>
    <r>
      <t>x</t>
    </r>
    <r>
      <rPr>
        <vertAlign val="subscript"/>
        <sz val="10"/>
        <rFont val="Arial"/>
        <family val="2"/>
      </rPr>
      <t>dT</t>
    </r>
    <r>
      <rPr>
        <sz val="10"/>
        <rFont val="Arial"/>
        <family val="2"/>
      </rPr>
      <t xml:space="preserve"> =</t>
    </r>
  </si>
  <si>
    <r>
      <t>y</t>
    </r>
    <r>
      <rPr>
        <vertAlign val="subscript"/>
        <sz val="10"/>
        <rFont val="Arial"/>
        <family val="2"/>
      </rPr>
      <t>dT</t>
    </r>
    <r>
      <rPr>
        <sz val="10"/>
        <rFont val="Arial"/>
        <family val="2"/>
      </rPr>
      <t xml:space="preserve"> =</t>
    </r>
  </si>
  <si>
    <t>Merüléskorr.térfogat koordinátái</t>
  </si>
  <si>
    <r>
      <t>M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=</t>
    </r>
  </si>
  <si>
    <r>
      <t>M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 xml:space="preserve"> =</t>
    </r>
  </si>
  <si>
    <r>
      <t>M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 xml:space="preserve"> =</t>
    </r>
  </si>
  <si>
    <t>Vízkiszorítás súlypontja</t>
  </si>
  <si>
    <t>z =</t>
  </si>
  <si>
    <t>x =</t>
  </si>
  <si>
    <t>y =</t>
  </si>
  <si>
    <t>GZ =</t>
  </si>
  <si>
    <t>Vízvonalfel. súlyp. saját síkban</t>
  </si>
  <si>
    <r>
      <t>dz/dz</t>
    </r>
    <r>
      <rPr>
        <vertAlign val="subscript"/>
        <sz val="10"/>
        <rFont val="Arial"/>
        <family val="2"/>
      </rPr>
      <t>0-15</t>
    </r>
    <r>
      <rPr>
        <sz val="10"/>
        <rFont val="Arial"/>
        <family val="2"/>
      </rPr>
      <t>=</t>
    </r>
  </si>
  <si>
    <r>
      <t>dy/dy</t>
    </r>
    <r>
      <rPr>
        <vertAlign val="subscript"/>
        <sz val="10"/>
        <rFont val="Arial"/>
        <family val="2"/>
      </rPr>
      <t>0-30</t>
    </r>
    <r>
      <rPr>
        <sz val="10"/>
        <rFont val="Arial"/>
        <family val="2"/>
      </rPr>
      <t>=</t>
    </r>
  </si>
  <si>
    <r>
      <t>dz/dz</t>
    </r>
    <r>
      <rPr>
        <vertAlign val="subscript"/>
        <sz val="10"/>
        <rFont val="Arial"/>
        <family val="2"/>
      </rPr>
      <t>0-30</t>
    </r>
    <r>
      <rPr>
        <sz val="10"/>
        <rFont val="Arial"/>
        <family val="2"/>
      </rPr>
      <t>=</t>
    </r>
  </si>
  <si>
    <r>
      <t>dy/dy</t>
    </r>
    <r>
      <rPr>
        <vertAlign val="subscript"/>
        <sz val="10"/>
        <rFont val="Arial"/>
        <family val="2"/>
      </rPr>
      <t>0-15</t>
    </r>
    <r>
      <rPr>
        <sz val="10"/>
        <rFont val="Arial"/>
        <family val="2"/>
      </rPr>
      <t>=</t>
    </r>
  </si>
  <si>
    <r>
      <t>dy/dy</t>
    </r>
    <r>
      <rPr>
        <vertAlign val="subscript"/>
        <sz val="10"/>
        <rFont val="Arial"/>
        <family val="2"/>
      </rPr>
      <t>0-0</t>
    </r>
    <r>
      <rPr>
        <sz val="10"/>
        <rFont val="Arial"/>
        <family val="2"/>
      </rPr>
      <t>=</t>
    </r>
  </si>
  <si>
    <r>
      <t>dz/dz</t>
    </r>
    <r>
      <rPr>
        <vertAlign val="subscript"/>
        <sz val="10"/>
        <rFont val="Arial"/>
        <family val="2"/>
      </rPr>
      <t>0-0</t>
    </r>
    <r>
      <rPr>
        <sz val="10"/>
        <rFont val="Arial"/>
        <family val="2"/>
      </rPr>
      <t>=</t>
    </r>
  </si>
  <si>
    <r>
      <t>dy/dy</t>
    </r>
    <r>
      <rPr>
        <vertAlign val="subscript"/>
        <sz val="10"/>
        <rFont val="Arial"/>
        <family val="2"/>
      </rPr>
      <t>0-45</t>
    </r>
    <r>
      <rPr>
        <sz val="10"/>
        <rFont val="Arial"/>
        <family val="2"/>
      </rPr>
      <t>=</t>
    </r>
  </si>
  <si>
    <r>
      <t>dz/dz</t>
    </r>
    <r>
      <rPr>
        <vertAlign val="subscript"/>
        <sz val="10"/>
        <rFont val="Arial"/>
        <family val="2"/>
      </rPr>
      <t>0-45</t>
    </r>
    <r>
      <rPr>
        <sz val="10"/>
        <rFont val="Arial"/>
        <family val="2"/>
      </rPr>
      <t>=</t>
    </r>
  </si>
  <si>
    <r>
      <t>dy/dy</t>
    </r>
    <r>
      <rPr>
        <vertAlign val="subscript"/>
        <sz val="10"/>
        <rFont val="Arial"/>
        <family val="2"/>
      </rPr>
      <t>0-60</t>
    </r>
    <r>
      <rPr>
        <sz val="10"/>
        <rFont val="Arial"/>
        <family val="2"/>
      </rPr>
      <t>=</t>
    </r>
  </si>
  <si>
    <r>
      <t>dz/dz</t>
    </r>
    <r>
      <rPr>
        <vertAlign val="subscript"/>
        <sz val="10"/>
        <rFont val="Arial"/>
        <family val="2"/>
      </rPr>
      <t>0-60</t>
    </r>
    <r>
      <rPr>
        <sz val="10"/>
        <rFont val="Arial"/>
        <family val="2"/>
      </rPr>
      <t>=</t>
    </r>
  </si>
  <si>
    <r>
      <t>dy/dy</t>
    </r>
    <r>
      <rPr>
        <vertAlign val="subscript"/>
        <sz val="10"/>
        <rFont val="Arial"/>
        <family val="2"/>
      </rPr>
      <t>0-75</t>
    </r>
    <r>
      <rPr>
        <sz val="10"/>
        <rFont val="Arial"/>
        <family val="2"/>
      </rPr>
      <t>=</t>
    </r>
  </si>
  <si>
    <r>
      <t>dz/dz</t>
    </r>
    <r>
      <rPr>
        <vertAlign val="subscript"/>
        <sz val="10"/>
        <rFont val="Arial"/>
        <family val="2"/>
      </rPr>
      <t>0-75</t>
    </r>
    <r>
      <rPr>
        <sz val="10"/>
        <rFont val="Arial"/>
        <family val="2"/>
      </rPr>
      <t>=</t>
    </r>
  </si>
  <si>
    <t>Dőlésszög, fi</t>
  </si>
  <si>
    <r>
      <t>Stabilitás karja, GZ</t>
    </r>
    <r>
      <rPr>
        <vertAlign val="subscript"/>
        <sz val="10"/>
        <rFont val="Arial"/>
        <family val="2"/>
      </rPr>
      <t>fi</t>
    </r>
  </si>
  <si>
    <t>60(57,3)</t>
  </si>
  <si>
    <r>
      <t>z</t>
    </r>
    <r>
      <rPr>
        <vertAlign val="subscript"/>
        <sz val="10"/>
        <rFont val="Arial"/>
        <family val="2"/>
      </rPr>
      <t>WL8</t>
    </r>
    <r>
      <rPr>
        <sz val="10"/>
        <rFont val="Arial"/>
        <family val="0"/>
      </rPr>
      <t>=</t>
    </r>
  </si>
  <si>
    <t>Bordametszetek</t>
  </si>
  <si>
    <t>A számítás menete</t>
  </si>
  <si>
    <t>Adatok meghatározása</t>
  </si>
  <si>
    <t>Korrigált vízvonal, vízkiszorítás-súlypont, stabilitás karja</t>
  </si>
  <si>
    <r>
      <t>A számítás menete fi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dőlésszögnél</t>
    </r>
  </si>
  <si>
    <t>Vízkiszorítás-súlypont vándorlása és stabilitás karja</t>
  </si>
  <si>
    <t>Teljes mérettáblázat</t>
  </si>
  <si>
    <t>hossz: x félszél.: y mag.: z</t>
  </si>
  <si>
    <t>far</t>
  </si>
  <si>
    <t>orr</t>
  </si>
  <si>
    <t>tőke</t>
  </si>
  <si>
    <t>I</t>
  </si>
  <si>
    <t>II</t>
  </si>
  <si>
    <t>III</t>
  </si>
  <si>
    <t>x/y</t>
  </si>
  <si>
    <t>far/orr</t>
  </si>
  <si>
    <t>fedélzet</t>
  </si>
  <si>
    <t>~</t>
  </si>
  <si>
    <t>WL0/bázis</t>
  </si>
  <si>
    <t>gerinc z=</t>
  </si>
  <si>
    <t>fenn</t>
  </si>
  <si>
    <t>lenn</t>
  </si>
  <si>
    <r>
      <t>Vízvonalak (φ=0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egyenes úszásnál)</t>
    </r>
  </si>
  <si>
    <t>1. Ballasztolatlan üres hajó</t>
  </si>
  <si>
    <t>2. Hajó normál terheléssel</t>
  </si>
  <si>
    <t>3. Túlterhelt hajó</t>
  </si>
  <si>
    <t>x=-2,800 m</t>
  </si>
  <si>
    <t>x=-2,100 m</t>
  </si>
  <si>
    <t>x=-1,400 m</t>
  </si>
  <si>
    <t>x=-0,700 m</t>
  </si>
  <si>
    <t>x=0,700m</t>
  </si>
  <si>
    <t>x=1,400m</t>
  </si>
  <si>
    <t>x=2,100m</t>
  </si>
  <si>
    <t>x=2,800m</t>
  </si>
  <si>
    <t>x=3,500m</t>
  </si>
  <si>
    <r>
      <t>A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</si>
  <si>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Nedvesített felület</t>
  </si>
  <si>
    <r>
      <t>y</t>
    </r>
    <r>
      <rPr>
        <vertAlign val="subscript"/>
        <sz val="10"/>
        <rFont val="Arial"/>
        <family val="2"/>
      </rPr>
      <t>jobb</t>
    </r>
  </si>
  <si>
    <r>
      <t>y</t>
    </r>
    <r>
      <rPr>
        <vertAlign val="subscript"/>
        <sz val="10"/>
        <rFont val="Arial"/>
        <family val="2"/>
      </rPr>
      <t>bal</t>
    </r>
  </si>
  <si>
    <r>
      <t>A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= </t>
    </r>
  </si>
  <si>
    <r>
      <t>A</t>
    </r>
    <r>
      <rPr>
        <vertAlign val="subscript"/>
        <sz val="10"/>
        <rFont val="Arial"/>
        <family val="2"/>
      </rPr>
      <t>1h</t>
    </r>
    <r>
      <rPr>
        <sz val="10"/>
        <rFont val="Arial"/>
        <family val="0"/>
      </rPr>
      <t xml:space="preserve">= </t>
    </r>
  </si>
  <si>
    <r>
      <t>A</t>
    </r>
    <r>
      <rPr>
        <vertAlign val="subscript"/>
        <sz val="10"/>
        <rFont val="Arial"/>
        <family val="2"/>
      </rPr>
      <t>1e</t>
    </r>
    <r>
      <rPr>
        <sz val="10"/>
        <rFont val="Arial"/>
        <family val="0"/>
      </rPr>
      <t xml:space="preserve">= </t>
    </r>
  </si>
  <si>
    <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= </t>
    </r>
  </si>
  <si>
    <r>
      <t>M</t>
    </r>
    <r>
      <rPr>
        <vertAlign val="subscript"/>
        <sz val="10"/>
        <rFont val="Arial"/>
        <family val="2"/>
      </rPr>
      <t>1x</t>
    </r>
    <r>
      <rPr>
        <sz val="10"/>
        <rFont val="Arial"/>
        <family val="0"/>
      </rPr>
      <t xml:space="preserve">= </t>
    </r>
  </si>
  <si>
    <r>
      <t>M</t>
    </r>
    <r>
      <rPr>
        <vertAlign val="subscript"/>
        <sz val="10"/>
        <rFont val="Arial"/>
        <family val="2"/>
      </rPr>
      <t>1y</t>
    </r>
    <r>
      <rPr>
        <sz val="10"/>
        <rFont val="Arial"/>
        <family val="0"/>
      </rPr>
      <t xml:space="preserve">= </t>
    </r>
  </si>
  <si>
    <r>
      <t>C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</si>
  <si>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=</t>
    </r>
  </si>
  <si>
    <r>
      <t>y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=</t>
    </r>
  </si>
  <si>
    <r>
      <t>I</t>
    </r>
    <r>
      <rPr>
        <vertAlign val="subscript"/>
        <sz val="10"/>
        <rFont val="Arial"/>
        <family val="2"/>
      </rPr>
      <t>L1</t>
    </r>
    <r>
      <rPr>
        <sz val="10"/>
        <rFont val="Arial"/>
        <family val="0"/>
      </rPr>
      <t xml:space="preserve"> =</t>
    </r>
  </si>
  <si>
    <r>
      <t>I</t>
    </r>
    <r>
      <rPr>
        <vertAlign val="subscript"/>
        <sz val="10"/>
        <rFont val="Arial"/>
        <family val="2"/>
      </rPr>
      <t>L1saját</t>
    </r>
    <r>
      <rPr>
        <sz val="10"/>
        <rFont val="Arial"/>
        <family val="0"/>
      </rPr>
      <t xml:space="preserve"> =</t>
    </r>
  </si>
  <si>
    <r>
      <t>I</t>
    </r>
    <r>
      <rPr>
        <vertAlign val="subscript"/>
        <sz val="10"/>
        <rFont val="Arial"/>
        <family val="2"/>
      </rPr>
      <t>T1</t>
    </r>
    <r>
      <rPr>
        <sz val="10"/>
        <rFont val="Arial"/>
        <family val="0"/>
      </rPr>
      <t xml:space="preserve"> =</t>
    </r>
  </si>
  <si>
    <r>
      <t>I</t>
    </r>
    <r>
      <rPr>
        <vertAlign val="subscript"/>
        <sz val="10"/>
        <rFont val="Arial"/>
        <family val="2"/>
      </rPr>
      <t>T1saját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</si>
  <si>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8"/>
        <rFont val="Arial"/>
        <family val="0"/>
      </rPr>
      <t>M</t>
    </r>
    <r>
      <rPr>
        <sz val="8"/>
        <rFont val="Arial"/>
        <family val="0"/>
      </rPr>
      <t>=1,125m</t>
    </r>
  </si>
  <si>
    <r>
      <t>A</t>
    </r>
    <r>
      <rPr>
        <vertAlign val="subscript"/>
        <sz val="10"/>
        <rFont val="Arial"/>
        <family val="2"/>
      </rPr>
      <t>M0</t>
    </r>
    <r>
      <rPr>
        <sz val="10"/>
        <rFont val="Arial"/>
        <family val="0"/>
      </rPr>
      <t xml:space="preserve">= </t>
    </r>
  </si>
  <si>
    <r>
      <t>A</t>
    </r>
    <r>
      <rPr>
        <vertAlign val="subscript"/>
        <sz val="10"/>
        <rFont val="Arial"/>
        <family val="2"/>
      </rPr>
      <t>Mh</t>
    </r>
    <r>
      <rPr>
        <sz val="10"/>
        <rFont val="Arial"/>
        <family val="0"/>
      </rPr>
      <t xml:space="preserve">= </t>
    </r>
  </si>
  <si>
    <r>
      <t>A</t>
    </r>
    <r>
      <rPr>
        <vertAlign val="subscript"/>
        <sz val="10"/>
        <rFont val="Arial"/>
        <family val="2"/>
      </rPr>
      <t>Me</t>
    </r>
    <r>
      <rPr>
        <sz val="10"/>
        <rFont val="Arial"/>
        <family val="0"/>
      </rPr>
      <t xml:space="preserve">= </t>
    </r>
  </si>
  <si>
    <r>
      <t>A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= </t>
    </r>
  </si>
  <si>
    <r>
      <t>M</t>
    </r>
    <r>
      <rPr>
        <vertAlign val="subscript"/>
        <sz val="10"/>
        <rFont val="Arial"/>
        <family val="2"/>
      </rPr>
      <t>Mx</t>
    </r>
    <r>
      <rPr>
        <sz val="10"/>
        <rFont val="Arial"/>
        <family val="0"/>
      </rPr>
      <t xml:space="preserve">= </t>
    </r>
  </si>
  <si>
    <r>
      <t>M</t>
    </r>
    <r>
      <rPr>
        <vertAlign val="subscript"/>
        <sz val="10"/>
        <rFont val="Arial"/>
        <family val="2"/>
      </rPr>
      <t>My</t>
    </r>
    <r>
      <rPr>
        <sz val="10"/>
        <rFont val="Arial"/>
        <family val="0"/>
      </rPr>
      <t xml:space="preserve">= </t>
    </r>
  </si>
  <si>
    <r>
      <t>C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=</t>
    </r>
  </si>
  <si>
    <r>
      <t>x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=</t>
    </r>
  </si>
  <si>
    <r>
      <t>y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=</t>
    </r>
  </si>
  <si>
    <r>
      <t>I</t>
    </r>
    <r>
      <rPr>
        <vertAlign val="subscript"/>
        <sz val="10"/>
        <rFont val="Arial"/>
        <family val="2"/>
      </rPr>
      <t>LM</t>
    </r>
    <r>
      <rPr>
        <sz val="10"/>
        <rFont val="Arial"/>
        <family val="0"/>
      </rPr>
      <t xml:space="preserve"> =</t>
    </r>
  </si>
  <si>
    <r>
      <t>I</t>
    </r>
    <r>
      <rPr>
        <vertAlign val="subscript"/>
        <sz val="10"/>
        <rFont val="Arial"/>
        <family val="2"/>
      </rPr>
      <t>LMsaját</t>
    </r>
    <r>
      <rPr>
        <sz val="10"/>
        <rFont val="Arial"/>
        <family val="0"/>
      </rPr>
      <t xml:space="preserve"> =</t>
    </r>
  </si>
  <si>
    <r>
      <t>I</t>
    </r>
    <r>
      <rPr>
        <vertAlign val="subscript"/>
        <sz val="10"/>
        <rFont val="Arial"/>
        <family val="2"/>
      </rPr>
      <t>TM</t>
    </r>
    <r>
      <rPr>
        <sz val="10"/>
        <rFont val="Arial"/>
        <family val="0"/>
      </rPr>
      <t xml:space="preserve"> =</t>
    </r>
  </si>
  <si>
    <r>
      <t>I</t>
    </r>
    <r>
      <rPr>
        <vertAlign val="subscript"/>
        <sz val="10"/>
        <rFont val="Arial"/>
        <family val="2"/>
      </rPr>
      <t>TMsaját</t>
    </r>
    <r>
      <rPr>
        <sz val="10"/>
        <rFont val="Arial"/>
        <family val="0"/>
      </rPr>
      <t xml:space="preserve"> =</t>
    </r>
  </si>
  <si>
    <r>
      <t>n - bordametszet sorszáma
m - dőlésszög sorszáma
fi - dőlésszög
x</t>
    </r>
    <r>
      <rPr>
        <vertAlign val="subscript"/>
        <sz val="10"/>
        <rFont val="Arial"/>
        <family val="2"/>
      </rPr>
      <t>AWLfim</t>
    </r>
    <r>
      <rPr>
        <sz val="10"/>
        <rFont val="Arial"/>
        <family val="0"/>
      </rPr>
      <t>, y</t>
    </r>
    <r>
      <rPr>
        <vertAlign val="subscript"/>
        <sz val="10"/>
        <rFont val="Arial"/>
        <family val="2"/>
      </rPr>
      <t>AWLfim</t>
    </r>
    <r>
      <rPr>
        <sz val="10"/>
        <rFont val="Arial"/>
        <family val="0"/>
      </rPr>
      <t xml:space="preserve"> - ferde vízvonal súlypont koordinátái fi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dőlésnél saját síkjában 
b</t>
    </r>
    <r>
      <rPr>
        <vertAlign val="subscript"/>
        <sz val="10"/>
        <rFont val="Arial"/>
        <family val="2"/>
      </rPr>
      <t>kinfim</t>
    </r>
    <r>
      <rPr>
        <sz val="10"/>
        <rFont val="Arial"/>
        <family val="0"/>
      </rPr>
      <t>, b</t>
    </r>
    <r>
      <rPr>
        <vertAlign val="subscript"/>
        <sz val="10"/>
        <rFont val="Arial"/>
        <family val="2"/>
      </rPr>
      <t>benfim</t>
    </r>
    <r>
      <rPr>
        <sz val="10"/>
        <rFont val="Arial"/>
        <family val="0"/>
      </rPr>
      <t xml:space="preserve"> - vízvonal szélességi méretei saját síkjában az aktuális és előző vízvonal metszésétől (b</t>
    </r>
    <r>
      <rPr>
        <vertAlign val="subscript"/>
        <sz val="10"/>
        <rFont val="Arial"/>
        <family val="2"/>
      </rPr>
      <t>kinfim</t>
    </r>
    <r>
      <rPr>
        <sz val="10"/>
        <rFont val="Arial"/>
        <family val="0"/>
      </rPr>
      <t xml:space="preserve"> negatív, b</t>
    </r>
    <r>
      <rPr>
        <vertAlign val="subscript"/>
        <sz val="10"/>
        <rFont val="Arial"/>
        <family val="2"/>
      </rPr>
      <t>benfim</t>
    </r>
    <r>
      <rPr>
        <sz val="10"/>
        <rFont val="Arial"/>
        <family val="0"/>
      </rPr>
      <t xml:space="preserve"> pozitív)                                                                                              A</t>
    </r>
    <r>
      <rPr>
        <vertAlign val="subscript"/>
        <sz val="10"/>
        <rFont val="Arial"/>
        <family val="2"/>
      </rPr>
      <t>kinfim</t>
    </r>
    <r>
      <rPr>
        <sz val="10"/>
        <rFont val="Arial"/>
        <family val="0"/>
      </rPr>
      <t>, A</t>
    </r>
    <r>
      <rPr>
        <vertAlign val="subscript"/>
        <sz val="10"/>
        <rFont val="Arial"/>
        <family val="2"/>
      </rPr>
      <t>benfim</t>
    </r>
    <r>
      <rPr>
        <sz val="10"/>
        <rFont val="Arial"/>
        <family val="0"/>
      </rPr>
      <t xml:space="preserve"> - bordaterület kiemelkedő ill. bemerülő része (ki negatív, be pozitív)                                                                                                              dT</t>
    </r>
    <r>
      <rPr>
        <vertAlign val="subscript"/>
        <sz val="10"/>
        <rFont val="Arial"/>
        <family val="2"/>
      </rPr>
      <t>fim</t>
    </r>
    <r>
      <rPr>
        <sz val="10"/>
        <rFont val="Arial"/>
        <family val="0"/>
      </rPr>
      <t xml:space="preserve"> - merüléskorrekció fi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dőlésnél (pozitív, ha V</t>
    </r>
    <r>
      <rPr>
        <vertAlign val="subscript"/>
        <sz val="10"/>
        <rFont val="Arial"/>
        <family val="2"/>
      </rPr>
      <t>befim</t>
    </r>
    <r>
      <rPr>
        <sz val="10"/>
        <rFont val="Arial"/>
        <family val="0"/>
      </rPr>
      <t xml:space="preserve"> &gt; V</t>
    </r>
    <r>
      <rPr>
        <vertAlign val="subscript"/>
        <sz val="10"/>
        <rFont val="Arial"/>
        <family val="2"/>
      </rPr>
      <t>kifim</t>
    </r>
    <r>
      <rPr>
        <sz val="10"/>
        <rFont val="Arial"/>
        <family val="0"/>
      </rPr>
      <t>)
dy</t>
    </r>
    <r>
      <rPr>
        <vertAlign val="subscript"/>
        <sz val="10"/>
        <rFont val="Arial"/>
        <family val="2"/>
      </rPr>
      <t>fim</t>
    </r>
    <r>
      <rPr>
        <sz val="10"/>
        <rFont val="Arial"/>
        <family val="0"/>
      </rPr>
      <t>, dz</t>
    </r>
    <r>
      <rPr>
        <vertAlign val="subscript"/>
        <sz val="10"/>
        <rFont val="Arial"/>
        <family val="2"/>
      </rPr>
      <t>fim</t>
    </r>
    <r>
      <rPr>
        <sz val="10"/>
        <rFont val="Arial"/>
        <family val="0"/>
      </rPr>
      <t xml:space="preserve"> - fi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dőlés korrigált vízvonal és fi</t>
    </r>
    <r>
      <rPr>
        <vertAlign val="subscript"/>
        <sz val="10"/>
        <rFont val="Arial"/>
        <family val="2"/>
      </rPr>
      <t>m-1</t>
    </r>
    <r>
      <rPr>
        <sz val="10"/>
        <rFont val="Arial"/>
        <family val="0"/>
      </rPr>
      <t xml:space="preserve"> korrigált vízvonal metszéspontjának y és z irányú távolsága az előző vízvonal-metszéstől
x</t>
    </r>
    <r>
      <rPr>
        <vertAlign val="subscript"/>
        <sz val="10"/>
        <rFont val="Arial"/>
        <family val="2"/>
      </rPr>
      <t>dTfim</t>
    </r>
    <r>
      <rPr>
        <sz val="10"/>
        <rFont val="Arial"/>
        <family val="0"/>
      </rPr>
      <t>, y</t>
    </r>
    <r>
      <rPr>
        <vertAlign val="subscript"/>
        <sz val="10"/>
        <rFont val="Arial"/>
        <family val="2"/>
      </rPr>
      <t>dTfim</t>
    </r>
    <r>
      <rPr>
        <sz val="10"/>
        <rFont val="Arial"/>
        <family val="0"/>
      </rPr>
      <t>, z</t>
    </r>
    <r>
      <rPr>
        <vertAlign val="subscript"/>
        <sz val="10"/>
        <rFont val="Arial"/>
        <family val="2"/>
      </rPr>
      <t>dTfim</t>
    </r>
    <r>
      <rPr>
        <sz val="10"/>
        <rFont val="Arial"/>
        <family val="0"/>
      </rPr>
      <t xml:space="preserve"> - A</t>
    </r>
    <r>
      <rPr>
        <vertAlign val="subscript"/>
        <sz val="10"/>
        <rFont val="Arial"/>
        <family val="2"/>
      </rPr>
      <t>WLfim*</t>
    </r>
    <r>
      <rPr>
        <sz val="10"/>
        <rFont val="Arial"/>
        <family val="0"/>
      </rPr>
      <t xml:space="preserve"> dT</t>
    </r>
    <r>
      <rPr>
        <vertAlign val="subscript"/>
        <sz val="10"/>
        <rFont val="Arial"/>
        <family val="2"/>
      </rPr>
      <t>fim</t>
    </r>
    <r>
      <rPr>
        <sz val="10"/>
        <rFont val="Arial"/>
        <family val="0"/>
      </rPr>
      <t xml:space="preserve"> korrekciós térfogat súlypont koordinátái                                                                                                                         x</t>
    </r>
    <r>
      <rPr>
        <vertAlign val="subscript"/>
        <sz val="10"/>
        <rFont val="Arial"/>
        <family val="2"/>
      </rPr>
      <t>fim</t>
    </r>
    <r>
      <rPr>
        <sz val="10"/>
        <rFont val="Arial"/>
        <family val="0"/>
      </rPr>
      <t>, y</t>
    </r>
    <r>
      <rPr>
        <vertAlign val="subscript"/>
        <sz val="10"/>
        <rFont val="Arial"/>
        <family val="2"/>
      </rPr>
      <t>fim</t>
    </r>
    <r>
      <rPr>
        <sz val="10"/>
        <rFont val="Arial"/>
        <family val="0"/>
      </rPr>
      <t>, z</t>
    </r>
    <r>
      <rPr>
        <vertAlign val="subscript"/>
        <sz val="10"/>
        <rFont val="Arial"/>
        <family val="2"/>
      </rPr>
      <t>fim</t>
    </r>
    <r>
      <rPr>
        <sz val="10"/>
        <rFont val="Arial"/>
        <family val="0"/>
      </rPr>
      <t xml:space="preserve"> - vízkiszorítás súlypont koordinátái fi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dőlésnél                                                                                                                                                   GZ</t>
    </r>
    <r>
      <rPr>
        <vertAlign val="subscript"/>
        <sz val="10"/>
        <rFont val="Arial"/>
        <family val="2"/>
      </rPr>
      <t>fim</t>
    </r>
    <r>
      <rPr>
        <sz val="10"/>
        <rFont val="Arial"/>
        <family val="2"/>
      </rPr>
      <t>, G, B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2"/>
      </rPr>
      <t>-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0"/>
      </rPr>
      <t>a stabilitás karja fi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dőlésnél; rendszersúlypont és vízkiszítás súlypont egyenes úszásnál</t>
    </r>
  </si>
  <si>
    <r>
      <t>Kezdeti GM</t>
    </r>
    <r>
      <rPr>
        <vertAlign val="subscript"/>
        <sz val="10"/>
        <rFont val="Arial"/>
        <family val="2"/>
      </rPr>
      <t>0</t>
    </r>
  </si>
  <si>
    <r>
      <t>Kezdeti GM</t>
    </r>
    <r>
      <rPr>
        <vertAlign val="subscript"/>
        <sz val="10"/>
        <rFont val="Arial"/>
        <family val="2"/>
      </rPr>
      <t>1</t>
    </r>
  </si>
  <si>
    <r>
      <t>Kezdeti GM</t>
    </r>
    <r>
      <rPr>
        <vertAlign val="subscript"/>
        <sz val="10"/>
        <rFont val="Arial"/>
        <family val="2"/>
      </rPr>
      <t>M</t>
    </r>
  </si>
  <si>
    <r>
      <t>Vízkiszorítás, V, m</t>
    </r>
    <r>
      <rPr>
        <vertAlign val="superscript"/>
        <sz val="10"/>
        <rFont val="Arial"/>
        <family val="2"/>
      </rPr>
      <t>3</t>
    </r>
  </si>
  <si>
    <r>
      <t xml:space="preserve">Dőlésszög, </t>
    </r>
    <r>
      <rPr>
        <sz val="10"/>
        <rFont val="Arial"/>
        <family val="2"/>
      </rPr>
      <t>φ</t>
    </r>
    <r>
      <rPr>
        <sz val="10"/>
        <rFont val="Arial"/>
        <family val="0"/>
      </rPr>
      <t>, fok</t>
    </r>
  </si>
  <si>
    <t>Stabiltás karja, GZ, m</t>
  </si>
  <si>
    <t>0°</t>
  </si>
  <si>
    <t>15°</t>
  </si>
  <si>
    <t>30°</t>
  </si>
  <si>
    <t>45°</t>
  </si>
  <si>
    <t>60°</t>
  </si>
  <si>
    <t>75°</t>
  </si>
  <si>
    <t>90°</t>
  </si>
  <si>
    <t>Vizsgált hajó képe</t>
  </si>
  <si>
    <t>... hajó stabilitás nagy dőlésszögeknél</t>
  </si>
  <si>
    <r>
      <t>Fő méretek
Teljes hossz ... m
Vízvonalhossz . m
Szélesség ... m
Merülés ... m
Szabadoldal ... m
Vízkiszorítás ... m</t>
    </r>
    <r>
      <rPr>
        <vertAlign val="superscript"/>
        <sz val="16"/>
        <rFont val="Arial"/>
        <family val="2"/>
      </rPr>
      <t>3</t>
    </r>
    <r>
      <rPr>
        <sz val="16"/>
        <rFont val="Arial"/>
        <family val="0"/>
      </rPr>
      <t xml:space="preserve">
és bla bla</t>
    </r>
  </si>
  <si>
    <t>... hajó hajótest mérettábla</t>
  </si>
  <si>
    <t>1/1</t>
  </si>
  <si>
    <r>
      <t>I</t>
    </r>
    <r>
      <rPr>
        <sz val="10"/>
        <rFont val="Arial"/>
        <family val="0"/>
      </rPr>
      <t xml:space="preserve">               </t>
    </r>
    <r>
      <rPr>
        <sz val="7"/>
        <rFont val="Arial"/>
        <family val="2"/>
      </rPr>
      <t>y = ... m</t>
    </r>
  </si>
  <si>
    <r>
      <t>II</t>
    </r>
    <r>
      <rPr>
        <sz val="10"/>
        <rFont val="Arial"/>
        <family val="0"/>
      </rPr>
      <t xml:space="preserve">               </t>
    </r>
    <r>
      <rPr>
        <sz val="7"/>
        <rFont val="Arial"/>
        <family val="2"/>
      </rPr>
      <t>y = ... m</t>
    </r>
  </si>
  <si>
    <r>
      <t>III</t>
    </r>
    <r>
      <rPr>
        <sz val="10"/>
        <rFont val="Arial"/>
        <family val="0"/>
      </rPr>
      <t xml:space="preserve">               </t>
    </r>
    <r>
      <rPr>
        <sz val="7"/>
        <rFont val="Arial"/>
        <family val="2"/>
      </rPr>
      <t>y = ... m</t>
    </r>
  </si>
  <si>
    <r>
      <t>T</t>
    </r>
    <r>
      <rPr>
        <vertAlign val="subscript"/>
        <sz val="8"/>
        <rFont val="Arial"/>
        <family val="2"/>
      </rPr>
      <t>0</t>
    </r>
    <r>
      <rPr>
        <sz val="8"/>
        <rFont val="Arial"/>
        <family val="0"/>
      </rPr>
      <t>=….m</t>
    </r>
  </si>
  <si>
    <r>
      <t>T</t>
    </r>
    <r>
      <rPr>
        <vertAlign val="subscript"/>
        <sz val="8"/>
        <rFont val="Arial"/>
        <family val="2"/>
      </rPr>
      <t>1</t>
    </r>
    <r>
      <rPr>
        <sz val="8"/>
        <rFont val="Arial"/>
        <family val="0"/>
      </rPr>
      <t>=….m</t>
    </r>
  </si>
  <si>
    <r>
      <t>x</t>
    </r>
    <r>
      <rPr>
        <vertAlign val="subscript"/>
        <sz val="8"/>
        <rFont val="Arial"/>
        <family val="2"/>
      </rPr>
      <t>CWL</t>
    </r>
    <r>
      <rPr>
        <sz val="8"/>
        <rFont val="Arial"/>
        <family val="0"/>
      </rPr>
      <t>= - ... m</t>
    </r>
  </si>
  <si>
    <t>x=-... m</t>
  </si>
  <si>
    <r>
      <t>A hajótest stabilitási adatai nagy dőlésszögeknél (T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=….. m)</t>
    </r>
  </si>
  <si>
    <t>Vízbemerült felület*, A</t>
  </si>
  <si>
    <t>* a Bordák munkalapról</t>
  </si>
  <si>
    <t>Súlypontmagasság*, z</t>
  </si>
  <si>
    <t>Vízvonal felülete**</t>
  </si>
  <si>
    <t>** a Vízvonalak munkalapról</t>
  </si>
  <si>
    <t>A vízvonal inercianyomatéka**</t>
  </si>
  <si>
    <t>Rendszersúlypont magassága***</t>
  </si>
  <si>
    <t>*** a súlyszámításból</t>
  </si>
  <si>
    <r>
      <t>z</t>
    </r>
    <r>
      <rPr>
        <vertAlign val="subscript"/>
        <sz val="10"/>
        <rFont val="Arial"/>
        <family val="2"/>
      </rPr>
      <t>dT</t>
    </r>
    <r>
      <rPr>
        <sz val="10"/>
        <rFont val="Arial"/>
        <family val="2"/>
      </rPr>
      <t>* =</t>
    </r>
  </si>
  <si>
    <r>
      <t>* a cella képletében 0,462 helyett 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értéke</t>
    </r>
  </si>
  <si>
    <r>
      <t>A hajótest stabilitási adatai nagy dőlésszögeknél (T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=….. m)</t>
    </r>
  </si>
  <si>
    <r>
      <t>* a cella képletében 0,462 helyett 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értéke</t>
    </r>
  </si>
  <si>
    <r>
      <t>A hajótest stabilitási adatai nagy dőlésszögeknél (T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=….. m)</t>
    </r>
  </si>
  <si>
    <r>
      <t>* a cella képletében 0,462 helyett T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értéke</t>
    </r>
  </si>
  <si>
    <r>
      <t>Üres hajó T</t>
    </r>
    <r>
      <rPr>
        <vertAlign val="subscript"/>
        <sz val="9"/>
        <rFont val="Arial"/>
        <family val="0"/>
      </rPr>
      <t>0</t>
    </r>
    <r>
      <rPr>
        <sz val="9"/>
        <rFont val="Arial"/>
        <family val="0"/>
      </rPr>
      <t>=….. m</t>
    </r>
  </si>
  <si>
    <r>
      <t>WL5 T</t>
    </r>
    <r>
      <rPr>
        <vertAlign val="subscript"/>
        <sz val="9"/>
        <rFont val="Arial"/>
        <family val="0"/>
      </rPr>
      <t>1</t>
    </r>
    <r>
      <rPr>
        <sz val="9"/>
        <rFont val="Arial"/>
        <family val="0"/>
      </rPr>
      <t>=….m</t>
    </r>
  </si>
  <si>
    <r>
      <t>Max.teher T</t>
    </r>
    <r>
      <rPr>
        <vertAlign val="subscript"/>
        <sz val="9"/>
        <rFont val="Arial"/>
        <family val="0"/>
      </rPr>
      <t>M</t>
    </r>
    <r>
      <rPr>
        <sz val="9"/>
        <rFont val="Arial"/>
        <family val="0"/>
      </rPr>
      <t>=….. m</t>
    </r>
  </si>
  <si>
    <r>
      <t>Stabilitás karja, Gz</t>
    </r>
    <r>
      <rPr>
        <vertAlign val="subscript"/>
        <sz val="10"/>
        <rFont val="Arial"/>
        <family val="2"/>
      </rPr>
      <t>fi</t>
    </r>
  </si>
  <si>
    <t>Sztatikus stabilitási görbék*</t>
  </si>
  <si>
    <t>* a valóságos értékeket be kell írni</t>
  </si>
  <si>
    <t>Keresztirányú stabilitás görbéi (pantokarénák) KG = 1,00 m súlyponthelyzetnél*</t>
  </si>
  <si>
    <t>Bordametszetek (a táblázatba be kell írni a valós értékeket)</t>
  </si>
  <si>
    <r>
      <t>Bonjean görbék</t>
    </r>
    <r>
      <rPr>
        <sz val="10"/>
        <rFont val="Arial"/>
        <family val="2"/>
      </rPr>
      <t xml:space="preserve"> (a valós datokat át kell másolni a bordametszetekről)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</si>
</sst>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0"/>
    <numFmt numFmtId="166" formatCode="0.0000"/>
    <numFmt numFmtId="167" formatCode="#,##0.0000\ _F_t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000000"/>
    <numFmt numFmtId="172" formatCode="0.000000"/>
  </numFmts>
  <fonts count="31">
    <font>
      <sz val="10"/>
      <name val="Arial"/>
      <family val="0"/>
    </font>
    <font>
      <sz val="6"/>
      <name val="Arial"/>
      <family val="2"/>
    </font>
    <font>
      <sz val="4.75"/>
      <name val="Arial"/>
      <family val="2"/>
    </font>
    <font>
      <sz val="9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2"/>
      <name val="Arial"/>
      <family val="2"/>
    </font>
    <font>
      <sz val="2.25"/>
      <name val="Arial"/>
      <family val="2"/>
    </font>
    <font>
      <sz val="24"/>
      <name val="Arial"/>
      <family val="0"/>
    </font>
    <font>
      <sz val="16"/>
      <name val="Arial"/>
      <family val="0"/>
    </font>
    <font>
      <sz val="6.25"/>
      <name val="Arial"/>
      <family val="2"/>
    </font>
    <font>
      <sz val="5.75"/>
      <name val="Arial"/>
      <family val="2"/>
    </font>
    <font>
      <sz val="3"/>
      <name val="Arial"/>
      <family val="2"/>
    </font>
    <font>
      <sz val="2.75"/>
      <name val="Arial"/>
      <family val="2"/>
    </font>
    <font>
      <sz val="2.5"/>
      <name val="Arial"/>
      <family val="2"/>
    </font>
    <font>
      <sz val="3.75"/>
      <name val="Arial"/>
      <family val="2"/>
    </font>
    <font>
      <sz val="1.75"/>
      <name val="Arial"/>
      <family val="2"/>
    </font>
    <font>
      <sz val="14"/>
      <name val="Arial"/>
      <family val="0"/>
    </font>
    <font>
      <sz val="7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6"/>
      <name val="Arial"/>
      <family val="2"/>
    </font>
    <font>
      <vertAlign val="subscript"/>
      <sz val="8"/>
      <name val="Arial"/>
      <family val="2"/>
    </font>
    <font>
      <sz val="6.5"/>
      <name val="Arial"/>
      <family val="2"/>
    </font>
    <font>
      <sz val="6.75"/>
      <name val="Arial"/>
      <family val="2"/>
    </font>
    <font>
      <vertAlign val="subscript"/>
      <sz val="9"/>
      <name val="Arial"/>
      <family val="0"/>
    </font>
    <font>
      <b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6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5" xfId="0" applyFont="1" applyBorder="1" applyAlignment="1">
      <alignment/>
    </xf>
    <xf numFmtId="0" fontId="0" fillId="0" borderId="2" xfId="0" applyBorder="1" applyAlignment="1">
      <alignment horizontal="centerContinuous"/>
    </xf>
    <xf numFmtId="164" fontId="0" fillId="0" borderId="1" xfId="0" applyNumberFormat="1" applyBorder="1" applyAlignment="1">
      <alignment horizontal="right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Continuous"/>
    </xf>
    <xf numFmtId="166" fontId="0" fillId="0" borderId="6" xfId="0" applyNumberFormat="1" applyBorder="1" applyAlignment="1">
      <alignment horizontal="center"/>
    </xf>
    <xf numFmtId="166" fontId="0" fillId="0" borderId="0" xfId="0" applyNumberFormat="1" applyAlignment="1">
      <alignment horizontal="centerContinuous"/>
    </xf>
    <xf numFmtId="1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166" fontId="7" fillId="0" borderId="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7" fillId="0" borderId="2" xfId="0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1" xfId="0" applyFont="1" applyBorder="1" applyAlignment="1">
      <alignment horizontal="center" vertical="distributed"/>
    </xf>
    <xf numFmtId="166" fontId="0" fillId="0" borderId="1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0" fillId="0" borderId="0" xfId="0" applyNumberFormat="1" applyAlignment="1">
      <alignment/>
    </xf>
    <xf numFmtId="166" fontId="0" fillId="0" borderId="6" xfId="0" applyNumberFormat="1" applyBorder="1" applyAlignment="1">
      <alignment/>
    </xf>
    <xf numFmtId="166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1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6" fontId="0" fillId="0" borderId="0" xfId="0" applyNumberFormat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166" fontId="0" fillId="0" borderId="3" xfId="0" applyNumberFormat="1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 quotePrefix="1">
      <alignment horizontal="center" vertical="center"/>
    </xf>
    <xf numFmtId="164" fontId="21" fillId="0" borderId="2" xfId="0" applyNumberFormat="1" applyFont="1" applyBorder="1" applyAlignment="1" quotePrefix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3" fillId="0" borderId="10" xfId="0" applyNumberFormat="1" applyFont="1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23" fillId="0" borderId="5" xfId="0" applyFont="1" applyBorder="1" applyAlignment="1">
      <alignment/>
    </xf>
    <xf numFmtId="0" fontId="23" fillId="0" borderId="0" xfId="0" applyFont="1" applyAlignment="1">
      <alignment/>
    </xf>
    <xf numFmtId="164" fontId="7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Continuous"/>
    </xf>
    <xf numFmtId="0" fontId="23" fillId="0" borderId="10" xfId="0" applyFont="1" applyBorder="1" applyAlignment="1">
      <alignment/>
    </xf>
    <xf numFmtId="166" fontId="3" fillId="0" borderId="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7" fillId="0" borderId="0" xfId="0" applyFont="1" applyAlignment="1">
      <alignment horizontal="centerContinuous"/>
    </xf>
    <xf numFmtId="166" fontId="0" fillId="0" borderId="0" xfId="0" applyNumberFormat="1" applyBorder="1" applyAlignment="1">
      <alignment/>
    </xf>
    <xf numFmtId="166" fontId="0" fillId="0" borderId="2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/>
    </xf>
    <xf numFmtId="0" fontId="2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textRotation="90"/>
    </xf>
    <xf numFmtId="0" fontId="0" fillId="0" borderId="5" xfId="0" applyBorder="1" applyAlignment="1">
      <alignment textRotation="90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'[1]vízvonalak'!$B$17:$L$17</c:f>
              <c:strCache>
                <c:ptCount val="11"/>
                <c:pt idx="0">
                  <c:v>far, 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10, tőke</c:v>
                </c:pt>
              </c:strCache>
            </c:strRef>
          </c:cat>
          <c:val>
            <c:numRef>
              <c:f>'[1]vízvonalak'!$B$19:$L$19</c:f>
              <c:numCache>
                <c:ptCount val="11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0.052</c:v>
                </c:pt>
                <c:pt idx="5">
                  <c:v>0.076</c:v>
                </c:pt>
                <c:pt idx="6">
                  <c:v>0.075</c:v>
                </c:pt>
                <c:pt idx="7">
                  <c:v>0.074</c:v>
                </c:pt>
                <c:pt idx="8">
                  <c:v>0.065</c:v>
                </c:pt>
                <c:pt idx="9">
                  <c:v>0.047</c:v>
                </c:pt>
                <c:pt idx="10">
                  <c:v>0.03</c:v>
                </c:pt>
              </c:numCache>
            </c:numRef>
          </c:val>
          <c:smooth val="0"/>
        </c:ser>
        <c:axId val="43639250"/>
        <c:axId val="57208931"/>
      </c:lineChart>
      <c:catAx>
        <c:axId val="436392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208931"/>
        <c:crosses val="autoZero"/>
        <c:auto val="0"/>
        <c:lblOffset val="100"/>
        <c:noMultiLvlLbl val="0"/>
      </c:catAx>
      <c:valAx>
        <c:axId val="57208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39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'[1]vízvonalak'!#REF!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'[1]vízvonalak'!#REF!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735244"/>
        <c:axId val="18746285"/>
      </c:lineChart>
      <c:catAx>
        <c:axId val="617352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746285"/>
        <c:crosses val="autoZero"/>
        <c:auto val="1"/>
        <c:lblOffset val="100"/>
        <c:noMultiLvlLbl val="0"/>
      </c:catAx>
      <c:valAx>
        <c:axId val="18746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35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Hosszirányú metacentrikus magasság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'[1]jellemzők'!$H$317:$H$325</c:f>
              <c:numCache>
                <c:ptCount val="9"/>
                <c:pt idx="0">
                  <c:v>2.2499051670212213</c:v>
                </c:pt>
                <c:pt idx="1">
                  <c:v>2.6506781497493965</c:v>
                </c:pt>
                <c:pt idx="2">
                  <c:v>2.9065548706397806</c:v>
                </c:pt>
                <c:pt idx="3">
                  <c:v>3.3380422655122595</c:v>
                </c:pt>
                <c:pt idx="4">
                  <c:v>3.655645210958218</c:v>
                </c:pt>
                <c:pt idx="5">
                  <c:v>4.328497104241312</c:v>
                </c:pt>
                <c:pt idx="6">
                  <c:v>5.397925160741409</c:v>
                </c:pt>
                <c:pt idx="7">
                  <c:v>7.352176341970117</c:v>
                </c:pt>
              </c:numCache>
            </c:numRef>
          </c:val>
          <c:smooth val="0"/>
        </c:ser>
        <c:axId val="6573552"/>
        <c:axId val="59161969"/>
      </c:lineChart>
      <c:catAx>
        <c:axId val="65735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161969"/>
        <c:crosses val="autoZero"/>
        <c:auto val="1"/>
        <c:lblOffset val="100"/>
        <c:noMultiLvlLbl val="0"/>
      </c:catAx>
      <c:valAx>
        <c:axId val="59161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3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Nedvesített felület WS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'[1]jellemzők'!$I$327:$I$335</c:f>
              <c:numCache>
                <c:ptCount val="9"/>
                <c:pt idx="0">
                  <c:v>2.3795540000000006</c:v>
                </c:pt>
                <c:pt idx="1">
                  <c:v>2.20694</c:v>
                </c:pt>
                <c:pt idx="2">
                  <c:v>2.016217</c:v>
                </c:pt>
                <c:pt idx="3">
                  <c:v>1.791568</c:v>
                </c:pt>
                <c:pt idx="4">
                  <c:v>1.495658</c:v>
                </c:pt>
                <c:pt idx="5">
                  <c:v>1.1535480000000002</c:v>
                </c:pt>
                <c:pt idx="6">
                  <c:v>0.791638</c:v>
                </c:pt>
                <c:pt idx="7">
                  <c:v>0.4506321799999999</c:v>
                </c:pt>
                <c:pt idx="8">
                  <c:v>0.1254</c:v>
                </c:pt>
              </c:numCache>
            </c:numRef>
          </c:val>
          <c:smooth val="0"/>
        </c:ser>
        <c:axId val="62695674"/>
        <c:axId val="27390155"/>
      </c:lineChart>
      <c:catAx>
        <c:axId val="626956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390155"/>
        <c:crosses val="autoZero"/>
        <c:auto val="1"/>
        <c:lblOffset val="100"/>
        <c:noMultiLvlLbl val="0"/>
      </c:catAx>
      <c:valAx>
        <c:axId val="27390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695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Vízkiszorítás térfogata V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'[1]jellemzők'!$C$317:$C$325</c:f>
              <c:numCache>
                <c:ptCount val="9"/>
                <c:pt idx="0">
                  <c:v>0.25285964000000005</c:v>
                </c:pt>
                <c:pt idx="1">
                  <c:v>0.20245499999999997</c:v>
                </c:pt>
                <c:pt idx="2">
                  <c:v>0.15408635</c:v>
                </c:pt>
                <c:pt idx="3">
                  <c:v>0.10956044000000001</c:v>
                </c:pt>
                <c:pt idx="4">
                  <c:v>0.07121158</c:v>
                </c:pt>
                <c:pt idx="5">
                  <c:v>0.041250440000000006</c:v>
                </c:pt>
                <c:pt idx="6">
                  <c:v>0.020721580000000003</c:v>
                </c:pt>
                <c:pt idx="7">
                  <c:v>0.009377719999999999</c:v>
                </c:pt>
                <c:pt idx="8">
                  <c:v>0</c:v>
                </c:pt>
              </c:numCache>
            </c:numRef>
          </c:val>
          <c:smooth val="0"/>
        </c:ser>
        <c:axId val="45184804"/>
        <c:axId val="4010053"/>
      </c:lineChart>
      <c:catAx>
        <c:axId val="451848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10053"/>
        <c:crosses val="autoZero"/>
        <c:auto val="1"/>
        <c:lblOffset val="100"/>
        <c:noMultiLvlLbl val="0"/>
      </c:catAx>
      <c:valAx>
        <c:axId val="4010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84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TPC merülésnövekedés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'[1]jellemzők'!$C$327:$C$335</c:f>
              <c:numCache>
                <c:ptCount val="9"/>
                <c:pt idx="0">
                  <c:v>0.01668040180401804</c:v>
                </c:pt>
                <c:pt idx="1">
                  <c:v>0.016364698646986472</c:v>
                </c:pt>
                <c:pt idx="2">
                  <c:v>0.015318368183681836</c:v>
                </c:pt>
                <c:pt idx="3">
                  <c:v>0.01382328823288233</c:v>
                </c:pt>
                <c:pt idx="4">
                  <c:v>0.011333743337433375</c:v>
                </c:pt>
                <c:pt idx="5">
                  <c:v>0.008321033210332103</c:v>
                </c:pt>
                <c:pt idx="6">
                  <c:v>0.0051459614596145965</c:v>
                </c:pt>
                <c:pt idx="7">
                  <c:v>0.002295612956129561</c:v>
                </c:pt>
                <c:pt idx="8">
                  <c:v>0.0012853628536285363</c:v>
                </c:pt>
              </c:numCache>
            </c:numRef>
          </c:val>
          <c:smooth val="0"/>
        </c:ser>
        <c:axId val="36090478"/>
        <c:axId val="56378847"/>
      </c:lineChart>
      <c:catAx>
        <c:axId val="360904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378847"/>
        <c:crosses val="autoZero"/>
        <c:auto val="1"/>
        <c:lblOffset val="100"/>
        <c:noMultiLvlLbl val="0"/>
      </c:catAx>
      <c:valAx>
        <c:axId val="56378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tonna/cm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90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MTcm nyomaték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'[1]jellemzők'!$D$327:$D$335</c:f>
              <c:numCache>
                <c:ptCount val="9"/>
                <c:pt idx="0">
                  <c:v>0.002425158431952217</c:v>
                </c:pt>
                <c:pt idx="1">
                  <c:v>0.0023372462739895536</c:v>
                </c:pt>
                <c:pt idx="2">
                  <c:v>0.0019765123665729744</c:v>
                </c:pt>
                <c:pt idx="3">
                  <c:v>0.0016361120306755271</c:v>
                </c:pt>
                <c:pt idx="4">
                  <c:v>0.0011760613638647508</c:v>
                </c:pt>
                <c:pt idx="5">
                  <c:v>0.0008150432487238659</c:v>
                </c:pt>
                <c:pt idx="6">
                  <c:v>0.0005151008202769745</c:v>
                </c:pt>
                <c:pt idx="7">
                  <c:v>0.00031963911554573865</c:v>
                </c:pt>
                <c:pt idx="8">
                  <c:v>0.002425158431952217</c:v>
                </c:pt>
              </c:numCache>
            </c:numRef>
          </c:val>
          <c:smooth val="0"/>
        </c:ser>
        <c:axId val="37647576"/>
        <c:axId val="3283865"/>
      </c:lineChart>
      <c:catAx>
        <c:axId val="376475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83865"/>
        <c:crosses val="autoZero"/>
        <c:auto val="1"/>
        <c:lblOffset val="100"/>
        <c:noMultiLvlLbl val="0"/>
      </c:catAx>
      <c:valAx>
        <c:axId val="3283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métertonna/cm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47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dVPC vízkiszorítás változás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'[1]jellemzők'!$E$327:$E$335</c:f>
              <c:numCache>
                <c:ptCount val="9"/>
                <c:pt idx="0">
                  <c:v>-0.0006104268860188601</c:v>
                </c:pt>
                <c:pt idx="1">
                  <c:v>-0.000602295295202952</c:v>
                </c:pt>
                <c:pt idx="2">
                  <c:v>-0.0004088611726117261</c:v>
                </c:pt>
                <c:pt idx="3">
                  <c:v>-0.00010329766297662977</c:v>
                </c:pt>
                <c:pt idx="4">
                  <c:v>0.00022595362853628537</c:v>
                </c:pt>
                <c:pt idx="5">
                  <c:v>0.0003729714022140221</c:v>
                </c:pt>
                <c:pt idx="6">
                  <c:v>0.00034861549815498155</c:v>
                </c:pt>
                <c:pt idx="7">
                  <c:v>0.00012808476834768345</c:v>
                </c:pt>
                <c:pt idx="8">
                  <c:v>-3.3822570725707256E-05</c:v>
                </c:pt>
              </c:numCache>
            </c:numRef>
          </c:val>
          <c:smooth val="0"/>
        </c:ser>
        <c:axId val="29554786"/>
        <c:axId val="64666483"/>
      </c:lineChart>
      <c:catAx>
        <c:axId val="295547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666483"/>
        <c:crosses val="autoZero"/>
        <c:auto val="1"/>
        <c:lblOffset val="100"/>
        <c:noMultiLvlLbl val="0"/>
      </c:catAx>
      <c:valAx>
        <c:axId val="64666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m3/cm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54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Hasábos teltség CB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'[1]jellemzők'!$F$327:$F$335</c:f>
              <c:numCache>
                <c:ptCount val="9"/>
                <c:pt idx="0">
                  <c:v>0.4549993388950601</c:v>
                </c:pt>
                <c:pt idx="1">
                  <c:v>0.41174496644295294</c:v>
                </c:pt>
                <c:pt idx="2">
                  <c:v>0.3629322691904306</c:v>
                </c:pt>
                <c:pt idx="3">
                  <c:v>0.31320880503144655</c:v>
                </c:pt>
                <c:pt idx="4">
                  <c:v>0.27249301276223187</c:v>
                </c:pt>
                <c:pt idx="5">
                  <c:v>0.25424</c:v>
                </c:pt>
                <c:pt idx="6">
                  <c:v>0.26848853516983456</c:v>
                </c:pt>
                <c:pt idx="7">
                  <c:v>0.4486947368421052</c:v>
                </c:pt>
                <c:pt idx="8">
                  <c:v>0.95</c:v>
                </c:pt>
              </c:numCache>
            </c:numRef>
          </c:val>
          <c:smooth val="0"/>
        </c:ser>
        <c:axId val="45127436"/>
        <c:axId val="3493741"/>
      </c:lineChart>
      <c:catAx>
        <c:axId val="451274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93741"/>
        <c:crosses val="autoZero"/>
        <c:auto val="1"/>
        <c:lblOffset val="100"/>
        <c:noMultiLvlLbl val="0"/>
      </c:catAx>
      <c:valAx>
        <c:axId val="34937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27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Főbordateltség CM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'[1]jellemzők'!$G$327:$G$335</c:f>
              <c:numCache>
                <c:ptCount val="9"/>
                <c:pt idx="0">
                  <c:v>0.622879614769797</c:v>
                </c:pt>
                <c:pt idx="1">
                  <c:v>0.5785234899328859</c:v>
                </c:pt>
                <c:pt idx="2">
                  <c:v>0.5264439718605297</c:v>
                </c:pt>
                <c:pt idx="3">
                  <c:v>0.4689496855345912</c:v>
                </c:pt>
                <c:pt idx="4">
                  <c:v>0.41618682021753045</c:v>
                </c:pt>
                <c:pt idx="5">
                  <c:v>0.3843254237288136</c:v>
                </c:pt>
                <c:pt idx="6">
                  <c:v>0.38037467361435756</c:v>
                </c:pt>
                <c:pt idx="7">
                  <c:v>0.5461052631578948</c:v>
                </c:pt>
                <c:pt idx="8">
                  <c:v>1</c:v>
                </c:pt>
              </c:numCache>
            </c:numRef>
          </c:val>
          <c:smooth val="0"/>
        </c:ser>
        <c:axId val="31443670"/>
        <c:axId val="14557575"/>
      </c:lineChart>
      <c:catAx>
        <c:axId val="314436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557575"/>
        <c:crosses val="autoZero"/>
        <c:auto val="1"/>
        <c:lblOffset val="100"/>
        <c:noMultiLvlLbl val="0"/>
      </c:catAx>
      <c:valAx>
        <c:axId val="145575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43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Hengeres teltség CP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'[1]jellemzők'!$H$327:$H$335</c:f>
              <c:numCache>
                <c:ptCount val="9"/>
                <c:pt idx="0">
                  <c:v>0.7304771710392515</c:v>
                </c:pt>
                <c:pt idx="1">
                  <c:v>0.7117169373549882</c:v>
                </c:pt>
                <c:pt idx="2">
                  <c:v>0.6894034096501762</c:v>
                </c:pt>
                <c:pt idx="3">
                  <c:v>0.6678942639110551</c:v>
                </c:pt>
                <c:pt idx="4">
                  <c:v>0.6547372466523725</c:v>
                </c:pt>
                <c:pt idx="5">
                  <c:v>0.6615227208580299</c:v>
                </c:pt>
                <c:pt idx="6">
                  <c:v>0.7058528177458033</c:v>
                </c:pt>
                <c:pt idx="7">
                  <c:v>0.8216268311488047</c:v>
                </c:pt>
                <c:pt idx="8">
                  <c:v>0.95</c:v>
                </c:pt>
              </c:numCache>
            </c:numRef>
          </c:val>
          <c:smooth val="0"/>
        </c:ser>
        <c:axId val="63909312"/>
        <c:axId val="38312897"/>
      </c:lineChart>
      <c:catAx>
        <c:axId val="639093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312897"/>
        <c:crosses val="autoZero"/>
        <c:auto val="1"/>
        <c:lblOffset val="100"/>
        <c:noMultiLvlLbl val="0"/>
      </c:catAx>
      <c:valAx>
        <c:axId val="383128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09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LCF a főbordától 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'[1]jellemzők'!$D$317:$D$325</c:f>
              <c:numCache>
                <c:ptCount val="9"/>
                <c:pt idx="0">
                  <c:v>-0.08051</c:v>
                </c:pt>
                <c:pt idx="1">
                  <c:v>-0.08097</c:v>
                </c:pt>
                <c:pt idx="2">
                  <c:v>-0.05872</c:v>
                </c:pt>
                <c:pt idx="3">
                  <c:v>-0.01644</c:v>
                </c:pt>
                <c:pt idx="4">
                  <c:v>0.04386</c:v>
                </c:pt>
                <c:pt idx="5">
                  <c:v>0.09861</c:v>
                </c:pt>
                <c:pt idx="6">
                  <c:v>0.14904</c:v>
                </c:pt>
                <c:pt idx="7">
                  <c:v>0.12275</c:v>
                </c:pt>
                <c:pt idx="8">
                  <c:v>-0.05789</c:v>
                </c:pt>
              </c:numCache>
            </c:numRef>
          </c:val>
          <c:smooth val="0"/>
        </c:ser>
        <c:axId val="9271754"/>
        <c:axId val="16336923"/>
      </c:lineChart>
      <c:catAx>
        <c:axId val="92717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336923"/>
        <c:crosses val="autoZero"/>
        <c:auto val="1"/>
        <c:lblOffset val="100"/>
        <c:noMultiLvlLbl val="0"/>
      </c:catAx>
      <c:valAx>
        <c:axId val="16336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71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'[1]vízvonalak'!#REF!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'[1]vízvonalak'!#REF!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498838"/>
        <c:axId val="42054087"/>
      </c:lineChart>
      <c:catAx>
        <c:axId val="344988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054087"/>
        <c:crosses val="autoZero"/>
        <c:auto val="1"/>
        <c:lblOffset val="100"/>
        <c:noMultiLvlLbl val="0"/>
      </c:catAx>
      <c:valAx>
        <c:axId val="42054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98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KB az alapvonaltól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'[1]jellemzők'!$E$317:$E$325</c:f>
              <c:numCache>
                <c:ptCount val="9"/>
                <c:pt idx="0">
                  <c:v>0.19136466690476975</c:v>
                </c:pt>
                <c:pt idx="1">
                  <c:v>0.17282944851942408</c:v>
                </c:pt>
                <c:pt idx="2">
                  <c:v>0.15337754810124324</c:v>
                </c:pt>
                <c:pt idx="3">
                  <c:v>0.13282048086955472</c:v>
                </c:pt>
                <c:pt idx="4">
                  <c:v>0.11095589387961903</c:v>
                </c:pt>
                <c:pt idx="5">
                  <c:v>0.08766689924907464</c:v>
                </c:pt>
                <c:pt idx="6">
                  <c:v>0.06251034971174979</c:v>
                </c:pt>
                <c:pt idx="7">
                  <c:v>0.03638223610003284</c:v>
                </c:pt>
                <c:pt idx="8">
                  <c:v>0</c:v>
                </c:pt>
              </c:numCache>
            </c:numRef>
          </c:val>
          <c:smooth val="0"/>
        </c:ser>
        <c:axId val="12814580"/>
        <c:axId val="48222357"/>
      </c:lineChart>
      <c:catAx>
        <c:axId val="128145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222357"/>
        <c:crosses val="autoZero"/>
        <c:auto val="1"/>
        <c:lblOffset val="100"/>
        <c:noMultiLvlLbl val="0"/>
      </c:catAx>
      <c:valAx>
        <c:axId val="48222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145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LCB a főbordától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'[1]jellemzők'!$F$317:$F$325</c:f>
              <c:numCache>
                <c:ptCount val="9"/>
                <c:pt idx="0">
                  <c:v>-0.009572058237526547</c:v>
                </c:pt>
                <c:pt idx="1">
                  <c:v>0.008235805487639225</c:v>
                </c:pt>
                <c:pt idx="2">
                  <c:v>0.03195578193655697</c:v>
                </c:pt>
                <c:pt idx="3">
                  <c:v>0.05958309404379901</c:v>
                </c:pt>
                <c:pt idx="4">
                  <c:v>0.08589467050162347</c:v>
                </c:pt>
                <c:pt idx="5">
                  <c:v>0.09958560442021948</c:v>
                </c:pt>
                <c:pt idx="6">
                  <c:v>0.08146089246090304</c:v>
                </c:pt>
                <c:pt idx="7">
                  <c:v>0.009517196077511388</c:v>
                </c:pt>
                <c:pt idx="8">
                  <c:v>-0.05789</c:v>
                </c:pt>
              </c:numCache>
            </c:numRef>
          </c:val>
          <c:smooth val="0"/>
        </c:ser>
        <c:axId val="31348030"/>
        <c:axId val="13696815"/>
      </c:lineChart>
      <c:catAx>
        <c:axId val="313480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696815"/>
        <c:crosses val="autoZero"/>
        <c:auto val="1"/>
        <c:lblOffset val="100"/>
        <c:noMultiLvlLbl val="0"/>
      </c:catAx>
      <c:valAx>
        <c:axId val="13696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48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Metacentrikus magasság KM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'[1]jellemzők'!$G$317:$G$325</c:f>
              <c:numCache>
                <c:ptCount val="9"/>
                <c:pt idx="0">
                  <c:v>0.536852780389389</c:v>
                </c:pt>
                <c:pt idx="1">
                  <c:v>0.5856619298115632</c:v>
                </c:pt>
                <c:pt idx="2">
                  <c:v>0.6390792342012774</c:v>
                </c:pt>
                <c:pt idx="3">
                  <c:v>0.6799157645321614</c:v>
                </c:pt>
                <c:pt idx="4">
                  <c:v>0.6496323282460521</c:v>
                </c:pt>
                <c:pt idx="5">
                  <c:v>0.48838989759769824</c:v>
                </c:pt>
                <c:pt idx="6">
                  <c:v>0.26085429838747815</c:v>
                </c:pt>
                <c:pt idx="7">
                  <c:v>0.06624023996451163</c:v>
                </c:pt>
                <c:pt idx="8">
                  <c:v>0</c:v>
                </c:pt>
              </c:numCache>
            </c:numRef>
          </c:val>
          <c:smooth val="0"/>
        </c:ser>
        <c:axId val="56162472"/>
        <c:axId val="35700201"/>
      </c:lineChart>
      <c:catAx>
        <c:axId val="561624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700201"/>
        <c:crosses val="autoZero"/>
        <c:auto val="1"/>
        <c:lblOffset val="100"/>
        <c:noMultiLvlLbl val="0"/>
      </c:catAx>
      <c:valAx>
        <c:axId val="35700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62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Hosszirányú metacentrikus magasság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'[1]jellemzők'!$H$317:$H$325</c:f>
              <c:numCache>
                <c:ptCount val="9"/>
                <c:pt idx="0">
                  <c:v>2.2499051670212213</c:v>
                </c:pt>
                <c:pt idx="1">
                  <c:v>2.6506781497493965</c:v>
                </c:pt>
                <c:pt idx="2">
                  <c:v>2.9065548706397806</c:v>
                </c:pt>
                <c:pt idx="3">
                  <c:v>3.3380422655122595</c:v>
                </c:pt>
                <c:pt idx="4">
                  <c:v>3.655645210958218</c:v>
                </c:pt>
                <c:pt idx="5">
                  <c:v>4.328497104241312</c:v>
                </c:pt>
                <c:pt idx="6">
                  <c:v>5.397925160741409</c:v>
                </c:pt>
                <c:pt idx="7">
                  <c:v>7.352176341970117</c:v>
                </c:pt>
              </c:numCache>
            </c:numRef>
          </c:val>
          <c:smooth val="0"/>
        </c:ser>
        <c:axId val="52866354"/>
        <c:axId val="6035139"/>
      </c:lineChart>
      <c:catAx>
        <c:axId val="528663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35139"/>
        <c:crosses val="autoZero"/>
        <c:auto val="1"/>
        <c:lblOffset val="100"/>
        <c:noMultiLvlLbl val="0"/>
      </c:catAx>
      <c:valAx>
        <c:axId val="6035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66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Nedvesített felület WS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'[1]jellemzők'!$I$327:$I$335</c:f>
              <c:numCache>
                <c:ptCount val="9"/>
                <c:pt idx="0">
                  <c:v>2.3795540000000006</c:v>
                </c:pt>
                <c:pt idx="1">
                  <c:v>2.20694</c:v>
                </c:pt>
                <c:pt idx="2">
                  <c:v>2.016217</c:v>
                </c:pt>
                <c:pt idx="3">
                  <c:v>1.791568</c:v>
                </c:pt>
                <c:pt idx="4">
                  <c:v>1.495658</c:v>
                </c:pt>
                <c:pt idx="5">
                  <c:v>1.1535480000000002</c:v>
                </c:pt>
                <c:pt idx="6">
                  <c:v>0.791638</c:v>
                </c:pt>
                <c:pt idx="7">
                  <c:v>0.4506321799999999</c:v>
                </c:pt>
                <c:pt idx="8">
                  <c:v>0.1254</c:v>
                </c:pt>
              </c:numCache>
            </c:numRef>
          </c:val>
          <c:smooth val="0"/>
        </c:ser>
        <c:axId val="54316252"/>
        <c:axId val="19084221"/>
      </c:lineChart>
      <c:catAx>
        <c:axId val="543162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084221"/>
        <c:crosses val="autoZero"/>
        <c:auto val="1"/>
        <c:lblOffset val="100"/>
        <c:noMultiLvlLbl val="0"/>
      </c:catAx>
      <c:valAx>
        <c:axId val="19084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16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Vízkiszorítás térfogata V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'[1]jellemzők'!$C$317:$C$325</c:f>
              <c:numCache>
                <c:ptCount val="9"/>
                <c:pt idx="0">
                  <c:v>0.25285964000000005</c:v>
                </c:pt>
                <c:pt idx="1">
                  <c:v>0.20245499999999997</c:v>
                </c:pt>
                <c:pt idx="2">
                  <c:v>0.15408635</c:v>
                </c:pt>
                <c:pt idx="3">
                  <c:v>0.10956044000000001</c:v>
                </c:pt>
                <c:pt idx="4">
                  <c:v>0.07121158</c:v>
                </c:pt>
                <c:pt idx="5">
                  <c:v>0.041250440000000006</c:v>
                </c:pt>
                <c:pt idx="6">
                  <c:v>0.020721580000000003</c:v>
                </c:pt>
                <c:pt idx="7">
                  <c:v>0.009377719999999999</c:v>
                </c:pt>
                <c:pt idx="8">
                  <c:v>0</c:v>
                </c:pt>
              </c:numCache>
            </c:numRef>
          </c:val>
          <c:smooth val="0"/>
        </c:ser>
        <c:axId val="37540262"/>
        <c:axId val="2318039"/>
      </c:lineChart>
      <c:catAx>
        <c:axId val="375402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18039"/>
        <c:crosses val="autoZero"/>
        <c:auto val="1"/>
        <c:lblOffset val="100"/>
        <c:noMultiLvlLbl val="0"/>
      </c:catAx>
      <c:valAx>
        <c:axId val="2318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40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TPC merülésnövekedés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'[1]jellemzők'!$C$327:$C$335</c:f>
              <c:numCache>
                <c:ptCount val="9"/>
                <c:pt idx="0">
                  <c:v>0.01668040180401804</c:v>
                </c:pt>
                <c:pt idx="1">
                  <c:v>0.016364698646986472</c:v>
                </c:pt>
                <c:pt idx="2">
                  <c:v>0.015318368183681836</c:v>
                </c:pt>
                <c:pt idx="3">
                  <c:v>0.01382328823288233</c:v>
                </c:pt>
                <c:pt idx="4">
                  <c:v>0.011333743337433375</c:v>
                </c:pt>
                <c:pt idx="5">
                  <c:v>0.008321033210332103</c:v>
                </c:pt>
                <c:pt idx="6">
                  <c:v>0.0051459614596145965</c:v>
                </c:pt>
                <c:pt idx="7">
                  <c:v>0.002295612956129561</c:v>
                </c:pt>
                <c:pt idx="8">
                  <c:v>0.0012853628536285363</c:v>
                </c:pt>
              </c:numCache>
            </c:numRef>
          </c:val>
          <c:smooth val="0"/>
        </c:ser>
        <c:axId val="20862352"/>
        <c:axId val="53543441"/>
      </c:lineChart>
      <c:catAx>
        <c:axId val="208623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543441"/>
        <c:crosses val="autoZero"/>
        <c:auto val="1"/>
        <c:lblOffset val="100"/>
        <c:noMultiLvlLbl val="0"/>
      </c:catAx>
      <c:valAx>
        <c:axId val="53543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tonna/cm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62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MTcm nyomaték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'[1]jellemzők'!$D$327:$D$335</c:f>
              <c:numCache>
                <c:ptCount val="9"/>
                <c:pt idx="0">
                  <c:v>0.002425158431952217</c:v>
                </c:pt>
                <c:pt idx="1">
                  <c:v>0.0023372462739895536</c:v>
                </c:pt>
                <c:pt idx="2">
                  <c:v>0.0019765123665729744</c:v>
                </c:pt>
                <c:pt idx="3">
                  <c:v>0.0016361120306755271</c:v>
                </c:pt>
                <c:pt idx="4">
                  <c:v>0.0011760613638647508</c:v>
                </c:pt>
                <c:pt idx="5">
                  <c:v>0.0008150432487238659</c:v>
                </c:pt>
                <c:pt idx="6">
                  <c:v>0.0005151008202769745</c:v>
                </c:pt>
                <c:pt idx="7">
                  <c:v>0.00031963911554573865</c:v>
                </c:pt>
                <c:pt idx="8">
                  <c:v>0.002425158431952217</c:v>
                </c:pt>
              </c:numCache>
            </c:numRef>
          </c:val>
          <c:smooth val="0"/>
        </c:ser>
        <c:axId val="12128922"/>
        <c:axId val="42051435"/>
      </c:lineChart>
      <c:catAx>
        <c:axId val="121289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051435"/>
        <c:crosses val="autoZero"/>
        <c:auto val="1"/>
        <c:lblOffset val="100"/>
        <c:noMultiLvlLbl val="0"/>
      </c:catAx>
      <c:valAx>
        <c:axId val="42051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métertonna/cm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28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dVPC vízkiszorítás változás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'[1]jellemzők'!$E$327:$E$335</c:f>
              <c:numCache>
                <c:ptCount val="9"/>
                <c:pt idx="0">
                  <c:v>-0.0006104268860188601</c:v>
                </c:pt>
                <c:pt idx="1">
                  <c:v>-0.000602295295202952</c:v>
                </c:pt>
                <c:pt idx="2">
                  <c:v>-0.0004088611726117261</c:v>
                </c:pt>
                <c:pt idx="3">
                  <c:v>-0.00010329766297662977</c:v>
                </c:pt>
                <c:pt idx="4">
                  <c:v>0.00022595362853628537</c:v>
                </c:pt>
                <c:pt idx="5">
                  <c:v>0.0003729714022140221</c:v>
                </c:pt>
                <c:pt idx="6">
                  <c:v>0.00034861549815498155</c:v>
                </c:pt>
                <c:pt idx="7">
                  <c:v>0.00012808476834768345</c:v>
                </c:pt>
                <c:pt idx="8">
                  <c:v>-3.3822570725707256E-05</c:v>
                </c:pt>
              </c:numCache>
            </c:numRef>
          </c:val>
          <c:smooth val="0"/>
        </c:ser>
        <c:axId val="42918596"/>
        <c:axId val="50723045"/>
      </c:lineChart>
      <c:catAx>
        <c:axId val="429185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723045"/>
        <c:crosses val="autoZero"/>
        <c:auto val="1"/>
        <c:lblOffset val="100"/>
        <c:noMultiLvlLbl val="0"/>
      </c:catAx>
      <c:valAx>
        <c:axId val="50723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m3/cm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18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Hasábos teltség CB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'[1]jellemzők'!$F$327:$F$335</c:f>
              <c:numCache>
                <c:ptCount val="9"/>
                <c:pt idx="0">
                  <c:v>0.4549993388950601</c:v>
                </c:pt>
                <c:pt idx="1">
                  <c:v>0.41174496644295294</c:v>
                </c:pt>
                <c:pt idx="2">
                  <c:v>0.3629322691904306</c:v>
                </c:pt>
                <c:pt idx="3">
                  <c:v>0.31320880503144655</c:v>
                </c:pt>
                <c:pt idx="4">
                  <c:v>0.27249301276223187</c:v>
                </c:pt>
                <c:pt idx="5">
                  <c:v>0.25424</c:v>
                </c:pt>
                <c:pt idx="6">
                  <c:v>0.26848853516983456</c:v>
                </c:pt>
                <c:pt idx="7">
                  <c:v>0.4486947368421052</c:v>
                </c:pt>
                <c:pt idx="8">
                  <c:v>0.95</c:v>
                </c:pt>
              </c:numCache>
            </c:numRef>
          </c:val>
          <c:smooth val="0"/>
        </c:ser>
        <c:axId val="53854222"/>
        <c:axId val="14925951"/>
      </c:lineChart>
      <c:catAx>
        <c:axId val="538542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925951"/>
        <c:crosses val="autoZero"/>
        <c:auto val="1"/>
        <c:lblOffset val="100"/>
        <c:noMultiLvlLbl val="0"/>
      </c:catAx>
      <c:valAx>
        <c:axId val="149259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54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'[1]vízvonalak'!#REF!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'[1]vízvonalak'!#REF!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942464"/>
        <c:axId val="50937857"/>
      </c:lineChart>
      <c:catAx>
        <c:axId val="429424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937857"/>
        <c:crosses val="autoZero"/>
        <c:auto val="1"/>
        <c:lblOffset val="100"/>
        <c:noMultiLvlLbl val="0"/>
      </c:catAx>
      <c:valAx>
        <c:axId val="50937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42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Főbordateltség CM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'[1]jellemzők'!$G$327:$G$335</c:f>
              <c:numCache>
                <c:ptCount val="9"/>
                <c:pt idx="0">
                  <c:v>0.622879614769797</c:v>
                </c:pt>
                <c:pt idx="1">
                  <c:v>0.5785234899328859</c:v>
                </c:pt>
                <c:pt idx="2">
                  <c:v>0.5264439718605297</c:v>
                </c:pt>
                <c:pt idx="3">
                  <c:v>0.4689496855345912</c:v>
                </c:pt>
                <c:pt idx="4">
                  <c:v>0.41618682021753045</c:v>
                </c:pt>
                <c:pt idx="5">
                  <c:v>0.3843254237288136</c:v>
                </c:pt>
                <c:pt idx="6">
                  <c:v>0.38037467361435756</c:v>
                </c:pt>
                <c:pt idx="7">
                  <c:v>0.5461052631578948</c:v>
                </c:pt>
                <c:pt idx="8">
                  <c:v>1</c:v>
                </c:pt>
              </c:numCache>
            </c:numRef>
          </c:val>
          <c:smooth val="0"/>
        </c:ser>
        <c:axId val="115832"/>
        <c:axId val="1042489"/>
      </c:lineChart>
      <c:catAx>
        <c:axId val="1158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42489"/>
        <c:crosses val="autoZero"/>
        <c:auto val="1"/>
        <c:lblOffset val="100"/>
        <c:noMultiLvlLbl val="0"/>
      </c:catAx>
      <c:valAx>
        <c:axId val="1042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Hengeres teltség CP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'[1]jellemzők'!$H$327:$H$335</c:f>
              <c:numCache>
                <c:ptCount val="9"/>
                <c:pt idx="0">
                  <c:v>0.7304771710392515</c:v>
                </c:pt>
                <c:pt idx="1">
                  <c:v>0.7117169373549882</c:v>
                </c:pt>
                <c:pt idx="2">
                  <c:v>0.6894034096501762</c:v>
                </c:pt>
                <c:pt idx="3">
                  <c:v>0.6678942639110551</c:v>
                </c:pt>
                <c:pt idx="4">
                  <c:v>0.6547372466523725</c:v>
                </c:pt>
                <c:pt idx="5">
                  <c:v>0.6615227208580299</c:v>
                </c:pt>
                <c:pt idx="6">
                  <c:v>0.7058528177458033</c:v>
                </c:pt>
                <c:pt idx="7">
                  <c:v>0.8216268311488047</c:v>
                </c:pt>
                <c:pt idx="8">
                  <c:v>0.95</c:v>
                </c:pt>
              </c:numCache>
            </c:numRef>
          </c:val>
          <c:smooth val="0"/>
        </c:ser>
        <c:axId val="9382402"/>
        <c:axId val="17332755"/>
      </c:lineChart>
      <c:catAx>
        <c:axId val="93824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332755"/>
        <c:crosses val="autoZero"/>
        <c:auto val="1"/>
        <c:lblOffset val="100"/>
        <c:noMultiLvlLbl val="0"/>
      </c:catAx>
      <c:valAx>
        <c:axId val="173327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82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LCF a főbordától 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'[1]jellemzők'!$D$317:$D$325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21777068"/>
        <c:axId val="61775885"/>
      </c:lineChart>
      <c:catAx>
        <c:axId val="217770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775885"/>
        <c:crosses val="autoZero"/>
        <c:auto val="1"/>
        <c:lblOffset val="100"/>
        <c:noMultiLvlLbl val="0"/>
      </c:catAx>
      <c:valAx>
        <c:axId val="61775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77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KB az alapvonaltól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'[1]jellemzők'!$E$317:$E$325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19112054"/>
        <c:axId val="37790759"/>
      </c:lineChart>
      <c:catAx>
        <c:axId val="191120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790759"/>
        <c:crosses val="autoZero"/>
        <c:auto val="1"/>
        <c:lblOffset val="100"/>
        <c:noMultiLvlLbl val="0"/>
      </c:catAx>
      <c:valAx>
        <c:axId val="37790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112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LCB a főbordától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'[1]jellemzők'!$F$317:$F$325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4572512"/>
        <c:axId val="41152609"/>
      </c:lineChart>
      <c:catAx>
        <c:axId val="45725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152609"/>
        <c:crosses val="autoZero"/>
        <c:auto val="1"/>
        <c:lblOffset val="100"/>
        <c:noMultiLvlLbl val="0"/>
      </c:catAx>
      <c:valAx>
        <c:axId val="41152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2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Metacentrikus magasság KM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'[1]jellemzők'!$G$317:$G$325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34829162"/>
        <c:axId val="45027003"/>
      </c:lineChart>
      <c:catAx>
        <c:axId val="348291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027003"/>
        <c:crosses val="autoZero"/>
        <c:auto val="1"/>
        <c:lblOffset val="100"/>
        <c:noMultiLvlLbl val="0"/>
      </c:catAx>
      <c:valAx>
        <c:axId val="45027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29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Hosszirányú metacentrikus magasság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'[1]jellemzők'!$H$317:$H$325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2589844"/>
        <c:axId val="23308597"/>
      </c:lineChart>
      <c:catAx>
        <c:axId val="25898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308597"/>
        <c:crosses val="autoZero"/>
        <c:auto val="1"/>
        <c:lblOffset val="100"/>
        <c:noMultiLvlLbl val="0"/>
      </c:catAx>
      <c:valAx>
        <c:axId val="23308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9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Nedvesített felület WS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'[1]jellemzők'!$I$327:$I$335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8450782"/>
        <c:axId val="8948175"/>
      </c:lineChart>
      <c:catAx>
        <c:axId val="84507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948175"/>
        <c:crosses val="autoZero"/>
        <c:auto val="1"/>
        <c:lblOffset val="100"/>
        <c:noMultiLvlLbl val="0"/>
      </c:catAx>
      <c:valAx>
        <c:axId val="8948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450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Vízkiszorítás térfogata V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'[1]jellemzők'!$C$317:$C$325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13424712"/>
        <c:axId val="53713545"/>
      </c:lineChart>
      <c:catAx>
        <c:axId val="134247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713545"/>
        <c:crosses val="autoZero"/>
        <c:auto val="1"/>
        <c:lblOffset val="100"/>
        <c:noMultiLvlLbl val="0"/>
      </c:catAx>
      <c:valAx>
        <c:axId val="53713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24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TPC merülésnövekedés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'[1]jellemzők'!$C$327:$C$335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13659858"/>
        <c:axId val="55829859"/>
      </c:lineChart>
      <c:catAx>
        <c:axId val="136598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829859"/>
        <c:crosses val="autoZero"/>
        <c:auto val="1"/>
        <c:lblOffset val="100"/>
        <c:noMultiLvlLbl val="0"/>
      </c:catAx>
      <c:valAx>
        <c:axId val="55829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tonna/cm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59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'[1]vízvonalak'!$B$3:$L$3</c:f>
              <c:strCache>
                <c:ptCount val="11"/>
                <c:pt idx="0">
                  <c:v>far, 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10, tőke</c:v>
                </c:pt>
              </c:strCache>
            </c:strRef>
          </c:cat>
          <c:val>
            <c:numRef>
              <c:f>'[1]vízvonalak'!$B$5:$L$5</c:f>
              <c:numCache>
                <c:ptCount val="11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</c:v>
                </c:pt>
              </c:numCache>
            </c:numRef>
          </c:val>
          <c:smooth val="0"/>
        </c:ser>
        <c:axId val="55787530"/>
        <c:axId val="32325723"/>
      </c:lineChart>
      <c:catAx>
        <c:axId val="557875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325723"/>
        <c:crosses val="autoZero"/>
        <c:auto val="0"/>
        <c:lblOffset val="100"/>
        <c:noMultiLvlLbl val="0"/>
      </c:catAx>
      <c:valAx>
        <c:axId val="32325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87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MTcm nyomaték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'[1]jellemzők'!$D$327:$D$335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32706684"/>
        <c:axId val="25924701"/>
      </c:lineChart>
      <c:catAx>
        <c:axId val="327066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924701"/>
        <c:crosses val="autoZero"/>
        <c:auto val="1"/>
        <c:lblOffset val="100"/>
        <c:noMultiLvlLbl val="0"/>
      </c:catAx>
      <c:valAx>
        <c:axId val="25924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métertonna/cm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06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dVPC vízkiszorítás változás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'[1]jellemzők'!$E$327:$E$335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31995718"/>
        <c:axId val="19526007"/>
      </c:lineChart>
      <c:catAx>
        <c:axId val="319957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526007"/>
        <c:crosses val="autoZero"/>
        <c:auto val="1"/>
        <c:lblOffset val="100"/>
        <c:noMultiLvlLbl val="0"/>
      </c:catAx>
      <c:valAx>
        <c:axId val="19526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m3/cm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95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Hasábos teltség CB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'[1]jellemzők'!$F$327:$F$335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41516336"/>
        <c:axId val="38102705"/>
      </c:lineChart>
      <c:catAx>
        <c:axId val="415163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102705"/>
        <c:crosses val="autoZero"/>
        <c:auto val="1"/>
        <c:lblOffset val="100"/>
        <c:noMultiLvlLbl val="0"/>
      </c:catAx>
      <c:valAx>
        <c:axId val="38102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16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Főbordateltség CM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'[1]jellemzők'!$G$327:$G$335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7380026"/>
        <c:axId val="66420235"/>
      </c:lineChart>
      <c:catAx>
        <c:axId val="73800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420235"/>
        <c:crosses val="autoZero"/>
        <c:auto val="1"/>
        <c:lblOffset val="100"/>
        <c:noMultiLvlLbl val="0"/>
      </c:catAx>
      <c:valAx>
        <c:axId val="66420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80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Hengeres teltség CP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'[1]jellemzők'!$H$327:$H$335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60911204"/>
        <c:axId val="11329925"/>
      </c:lineChart>
      <c:catAx>
        <c:axId val="609112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329925"/>
        <c:crosses val="autoZero"/>
        <c:auto val="1"/>
        <c:lblOffset val="100"/>
        <c:noMultiLvlLbl val="0"/>
      </c:catAx>
      <c:valAx>
        <c:axId val="113299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11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LCF a főbordától 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'[1]jellemzők'!$D$317:$D$325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34860462"/>
        <c:axId val="45308703"/>
      </c:lineChart>
      <c:catAx>
        <c:axId val="348604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308703"/>
        <c:crosses val="autoZero"/>
        <c:auto val="1"/>
        <c:lblOffset val="100"/>
        <c:noMultiLvlLbl val="0"/>
      </c:catAx>
      <c:valAx>
        <c:axId val="45308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60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KB az alapvonaltól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'[1]jellemzők'!$E$317:$E$325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5125144"/>
        <c:axId val="46126297"/>
      </c:lineChart>
      <c:catAx>
        <c:axId val="51251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126297"/>
        <c:crosses val="autoZero"/>
        <c:auto val="1"/>
        <c:lblOffset val="100"/>
        <c:noMultiLvlLbl val="0"/>
      </c:catAx>
      <c:valAx>
        <c:axId val="46126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5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LCB a főbordától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'[1]jellemzők'!$F$317:$F$325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12483490"/>
        <c:axId val="45242547"/>
      </c:lineChart>
      <c:catAx>
        <c:axId val="124834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242547"/>
        <c:crosses val="autoZero"/>
        <c:auto val="1"/>
        <c:lblOffset val="100"/>
        <c:noMultiLvlLbl val="0"/>
      </c:catAx>
      <c:valAx>
        <c:axId val="45242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83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Metacentrikus magasság KM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'[1]jellemzők'!$G$317:$G$325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4529740"/>
        <c:axId val="40767661"/>
      </c:lineChart>
      <c:catAx>
        <c:axId val="45297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767661"/>
        <c:crosses val="autoZero"/>
        <c:auto val="1"/>
        <c:lblOffset val="100"/>
        <c:noMultiLvlLbl val="0"/>
      </c:catAx>
      <c:valAx>
        <c:axId val="40767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9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Hosszirányú metacentrikus magasság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'[1]jellemzők'!$H$317:$H$325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31364630"/>
        <c:axId val="13846215"/>
      </c:lineChart>
      <c:catAx>
        <c:axId val="313646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846215"/>
        <c:crosses val="autoZero"/>
        <c:auto val="1"/>
        <c:lblOffset val="100"/>
        <c:noMultiLvlLbl val="0"/>
      </c:catAx>
      <c:valAx>
        <c:axId val="13846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64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Vízvonalak!$A$38</c:f>
              <c:strCache>
                <c:ptCount val="1"/>
                <c:pt idx="0">
                  <c:v>yjobb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Vízvonalak!$C$36:$M$36</c:f>
              <c:numCache/>
            </c:numRef>
          </c:cat>
          <c:val>
            <c:numRef>
              <c:f>Vízvonalak!$C$38:$M$38</c:f>
              <c:numCache/>
            </c:numRef>
          </c:val>
          <c:smooth val="0"/>
        </c:ser>
        <c:ser>
          <c:idx val="1"/>
          <c:order val="1"/>
          <c:tx>
            <c:strRef>
              <c:f>Vízvonalak!$A$39</c:f>
              <c:strCache>
                <c:ptCount val="1"/>
                <c:pt idx="0">
                  <c:v>ybal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Vízvonalak!$C$36:$M$36</c:f>
              <c:numCache/>
            </c:numRef>
          </c:cat>
          <c:val>
            <c:numRef>
              <c:f>Vízvonalak!$C$39:$M$39</c:f>
              <c:numCache/>
            </c:numRef>
          </c:val>
          <c:smooth val="0"/>
        </c:ser>
        <c:axId val="22496052"/>
        <c:axId val="1137877"/>
      </c:lineChart>
      <c:catAx>
        <c:axId val="224960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37877"/>
        <c:crosses val="autoZero"/>
        <c:auto val="1"/>
        <c:lblOffset val="100"/>
        <c:noMultiLvlLbl val="0"/>
      </c:catAx>
      <c:valAx>
        <c:axId val="1137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96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Nedvesített felület WS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'[1]jellemzők'!$I$327:$I$335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57507072"/>
        <c:axId val="47801601"/>
      </c:lineChart>
      <c:catAx>
        <c:axId val="575070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801601"/>
        <c:crosses val="autoZero"/>
        <c:auto val="1"/>
        <c:lblOffset val="100"/>
        <c:noMultiLvlLbl val="0"/>
      </c:catAx>
      <c:valAx>
        <c:axId val="47801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07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Vízkiszorítás térfogata V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'[1]jellemzők'!$C$317:$C$325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27561226"/>
        <c:axId val="46724443"/>
      </c:lineChart>
      <c:catAx>
        <c:axId val="275612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724443"/>
        <c:crosses val="autoZero"/>
        <c:auto val="1"/>
        <c:lblOffset val="100"/>
        <c:noMultiLvlLbl val="0"/>
      </c:catAx>
      <c:valAx>
        <c:axId val="46724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61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TPC merülésnövekedés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'[1]jellemzők'!$C$327:$C$335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17866804"/>
        <c:axId val="26583509"/>
      </c:lineChart>
      <c:catAx>
        <c:axId val="178668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583509"/>
        <c:crosses val="autoZero"/>
        <c:auto val="1"/>
        <c:lblOffset val="100"/>
        <c:noMultiLvlLbl val="0"/>
      </c:catAx>
      <c:valAx>
        <c:axId val="26583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tonna/cm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66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MTcm nyomaték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'[1]jellemzők'!$D$327:$D$335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37924990"/>
        <c:axId val="5780591"/>
      </c:lineChart>
      <c:catAx>
        <c:axId val="379249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80591"/>
        <c:crosses val="autoZero"/>
        <c:auto val="1"/>
        <c:lblOffset val="100"/>
        <c:noMultiLvlLbl val="0"/>
      </c:catAx>
      <c:valAx>
        <c:axId val="5780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métertonna/cm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924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dVPC vízkiszorítás változás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'[1]jellemzők'!$E$327:$E$335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52025320"/>
        <c:axId val="65574697"/>
      </c:lineChart>
      <c:catAx>
        <c:axId val="520253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574697"/>
        <c:crosses val="autoZero"/>
        <c:auto val="1"/>
        <c:lblOffset val="100"/>
        <c:noMultiLvlLbl val="0"/>
      </c:catAx>
      <c:valAx>
        <c:axId val="65574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m3/cm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25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Hasábos teltség CB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'[1]jellemzők'!$F$327:$F$335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53301362"/>
        <c:axId val="9950211"/>
      </c:lineChart>
      <c:catAx>
        <c:axId val="533013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950211"/>
        <c:crosses val="autoZero"/>
        <c:auto val="1"/>
        <c:lblOffset val="100"/>
        <c:noMultiLvlLbl val="0"/>
      </c:catAx>
      <c:valAx>
        <c:axId val="9950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01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Főbordateltség CM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'[1]jellemzők'!$G$327:$G$335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22443036"/>
        <c:axId val="660733"/>
      </c:lineChart>
      <c:catAx>
        <c:axId val="224430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0733"/>
        <c:crosses val="autoZero"/>
        <c:auto val="1"/>
        <c:lblOffset val="100"/>
        <c:noMultiLvlLbl val="0"/>
      </c:catAx>
      <c:valAx>
        <c:axId val="660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43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Hengeres teltség CP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'[1]jellemzők'!$H$327:$H$335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5946598"/>
        <c:axId val="53519383"/>
      </c:lineChart>
      <c:catAx>
        <c:axId val="59465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519383"/>
        <c:crosses val="autoZero"/>
        <c:auto val="1"/>
        <c:lblOffset val="100"/>
        <c:noMultiLvlLbl val="0"/>
      </c:catAx>
      <c:valAx>
        <c:axId val="535193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6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LCF a főbordától 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'[1]jellemzők'!$D$317:$D$325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11912400"/>
        <c:axId val="40102737"/>
      </c:lineChart>
      <c:catAx>
        <c:axId val="119124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102737"/>
        <c:crosses val="autoZero"/>
        <c:auto val="1"/>
        <c:lblOffset val="100"/>
        <c:noMultiLvlLbl val="0"/>
      </c:catAx>
      <c:valAx>
        <c:axId val="40102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12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KB az alapvonaltól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'[1]jellemzők'!$E$317:$E$325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25380314"/>
        <c:axId val="27096235"/>
      </c:lineChart>
      <c:catAx>
        <c:axId val="253803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096235"/>
        <c:crosses val="autoZero"/>
        <c:auto val="1"/>
        <c:lblOffset val="100"/>
        <c:noMultiLvlLbl val="0"/>
      </c:catAx>
      <c:valAx>
        <c:axId val="27096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80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Vízvonalak!$A$72</c:f>
              <c:strCache>
                <c:ptCount val="1"/>
                <c:pt idx="0">
                  <c:v>yjobb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Vízvonalak!$C$70:$M$70</c:f>
              <c:numCache/>
            </c:numRef>
          </c:cat>
          <c:val>
            <c:numRef>
              <c:f>Vízvonalak!$C$72:$M$72</c:f>
              <c:numCache/>
            </c:numRef>
          </c:val>
          <c:smooth val="0"/>
        </c:ser>
        <c:ser>
          <c:idx val="1"/>
          <c:order val="1"/>
          <c:tx>
            <c:strRef>
              <c:f>Vízvonalak!$A$73</c:f>
              <c:strCache>
                <c:ptCount val="1"/>
                <c:pt idx="0">
                  <c:v>ybal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Vízvonalak!$C$70:$M$70</c:f>
              <c:numCache/>
            </c:numRef>
          </c:cat>
          <c:val>
            <c:numRef>
              <c:f>Vízvonalak!$C$73:$M$73</c:f>
              <c:numCache/>
            </c:numRef>
          </c:val>
          <c:smooth val="0"/>
        </c:ser>
        <c:axId val="10240894"/>
        <c:axId val="25059183"/>
      </c:lineChart>
      <c:catAx>
        <c:axId val="102408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059183"/>
        <c:crosses val="autoZero"/>
        <c:auto val="1"/>
        <c:lblOffset val="100"/>
        <c:noMultiLvlLbl val="0"/>
      </c:catAx>
      <c:valAx>
        <c:axId val="25059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40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LCB a főbordától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'[1]jellemzők'!$F$317:$F$325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42539524"/>
        <c:axId val="47311397"/>
      </c:lineChart>
      <c:catAx>
        <c:axId val="425395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311397"/>
        <c:crosses val="autoZero"/>
        <c:auto val="1"/>
        <c:lblOffset val="100"/>
        <c:noMultiLvlLbl val="0"/>
      </c:catAx>
      <c:valAx>
        <c:axId val="47311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39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Metacentrikus magasság KM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'[1]jellemzők'!$G$317:$G$325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23149390"/>
        <c:axId val="7017919"/>
      </c:lineChart>
      <c:catAx>
        <c:axId val="231493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017919"/>
        <c:crosses val="autoZero"/>
        <c:auto val="1"/>
        <c:lblOffset val="100"/>
        <c:noMultiLvlLbl val="0"/>
      </c:catAx>
      <c:valAx>
        <c:axId val="7017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49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Hosszirányú metacentrikus magasság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'[1]jellemzők'!$H$317:$H$325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63161272"/>
        <c:axId val="31580537"/>
      </c:lineChart>
      <c:catAx>
        <c:axId val="631612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580537"/>
        <c:crosses val="autoZero"/>
        <c:auto val="1"/>
        <c:lblOffset val="100"/>
        <c:noMultiLvlLbl val="0"/>
      </c:catAx>
      <c:valAx>
        <c:axId val="31580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61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Nedvesített felület WS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'[1]jellemzők'!$I$327:$I$335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15789378"/>
        <c:axId val="7886675"/>
      </c:lineChart>
      <c:catAx>
        <c:axId val="157893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886675"/>
        <c:crosses val="autoZero"/>
        <c:auto val="1"/>
        <c:lblOffset val="100"/>
        <c:noMultiLvlLbl val="0"/>
      </c:catAx>
      <c:valAx>
        <c:axId val="7886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89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Vízkiszorítás térfogata V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'[1]jellemzők'!$C$317:$C$325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3871212"/>
        <c:axId val="34840909"/>
      </c:lineChart>
      <c:catAx>
        <c:axId val="38712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840909"/>
        <c:crosses val="autoZero"/>
        <c:auto val="1"/>
        <c:lblOffset val="100"/>
        <c:noMultiLvlLbl val="0"/>
      </c:catAx>
      <c:valAx>
        <c:axId val="34840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1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TPC merülésnövekedés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'[1]jellemzők'!$C$327:$C$335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45132726"/>
        <c:axId val="3541351"/>
      </c:lineChart>
      <c:catAx>
        <c:axId val="451327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41351"/>
        <c:crosses val="autoZero"/>
        <c:auto val="1"/>
        <c:lblOffset val="100"/>
        <c:noMultiLvlLbl val="0"/>
      </c:catAx>
      <c:valAx>
        <c:axId val="3541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tonna/cm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32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MTcm nyomaték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'[1]jellemzők'!$D$327:$D$335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31872160"/>
        <c:axId val="18413985"/>
      </c:lineChart>
      <c:catAx>
        <c:axId val="318721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413985"/>
        <c:crosses val="autoZero"/>
        <c:auto val="1"/>
        <c:lblOffset val="100"/>
        <c:noMultiLvlLbl val="0"/>
      </c:catAx>
      <c:valAx>
        <c:axId val="18413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métertonna/cm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72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dVPC vízkiszorítás változás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'[1]jellemzők'!$E$327:$E$335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31508138"/>
        <c:axId val="15137787"/>
      </c:lineChart>
      <c:catAx>
        <c:axId val="315081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137787"/>
        <c:crosses val="autoZero"/>
        <c:auto val="1"/>
        <c:lblOffset val="100"/>
        <c:noMultiLvlLbl val="0"/>
      </c:catAx>
      <c:valAx>
        <c:axId val="15137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m3/cm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08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Hasábos teltség CB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'[1]jellemzők'!$F$327:$F$335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2022356"/>
        <c:axId val="18201205"/>
      </c:lineChart>
      <c:catAx>
        <c:axId val="20223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201205"/>
        <c:crosses val="autoZero"/>
        <c:auto val="1"/>
        <c:lblOffset val="100"/>
        <c:noMultiLvlLbl val="0"/>
      </c:catAx>
      <c:valAx>
        <c:axId val="182012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2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Főbordateltség CM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'[1]jellemzők'!$G$327:$G$335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29593118"/>
        <c:axId val="65011471"/>
      </c:lineChart>
      <c:catAx>
        <c:axId val="295931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011471"/>
        <c:crosses val="autoZero"/>
        <c:auto val="1"/>
        <c:lblOffset val="100"/>
        <c:noMultiLvlLbl val="0"/>
      </c:catAx>
      <c:valAx>
        <c:axId val="65011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93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206056"/>
        <c:axId val="16527913"/>
      </c:lineChart>
      <c:catAx>
        <c:axId val="242060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527913"/>
        <c:crosses val="autoZero"/>
        <c:auto val="1"/>
        <c:lblOffset val="100"/>
        <c:noMultiLvlLbl val="0"/>
      </c:catAx>
      <c:valAx>
        <c:axId val="16527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06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Hengeres teltség CP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'[1]jellemzők'!$H$327:$H$335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48232328"/>
        <c:axId val="31437769"/>
      </c:lineChart>
      <c:catAx>
        <c:axId val="482323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437769"/>
        <c:crosses val="autoZero"/>
        <c:auto val="1"/>
        <c:lblOffset val="100"/>
        <c:noMultiLvlLbl val="0"/>
      </c:catAx>
      <c:valAx>
        <c:axId val="31437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32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'Sztat.stab.'!$A$3</c:f>
              <c:strCache>
                <c:ptCount val="1"/>
                <c:pt idx="0">
                  <c:v>Üres hajó T0=….. 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'Sztat.stab.'!$D$2:$J$2</c:f>
              <c:strCache/>
            </c:strRef>
          </c:cat>
          <c:val>
            <c:numRef>
              <c:f>'Sztat.stab.'!$D$3:$J$3</c:f>
              <c:numCache/>
            </c:numRef>
          </c:val>
          <c:smooth val="0"/>
        </c:ser>
        <c:ser>
          <c:idx val="1"/>
          <c:order val="1"/>
          <c:tx>
            <c:strRef>
              <c:f>'Sztat.stab.'!$B$4</c:f>
              <c:strCache>
                <c:ptCount val="1"/>
                <c:pt idx="0">
                  <c:v>Kezdeti GM0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'Sztat.stab.'!$D$2:$J$2</c:f>
              <c:strCache/>
            </c:strRef>
          </c:cat>
          <c:val>
            <c:numRef>
              <c:f>'Sztat.stab.'!$D$4:$H$4</c:f>
              <c:numCache/>
            </c:numRef>
          </c:val>
          <c:smooth val="0"/>
        </c:ser>
        <c:ser>
          <c:idx val="2"/>
          <c:order val="2"/>
          <c:tx>
            <c:strRef>
              <c:f>'Sztat.stab.'!$A$5</c:f>
              <c:strCache>
                <c:ptCount val="1"/>
                <c:pt idx="0">
                  <c:v>WL5 T1=….m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'Sztat.stab.'!$D$5:$J$5</c:f>
              <c:numCache/>
            </c:numRef>
          </c:val>
          <c:smooth val="0"/>
        </c:ser>
        <c:ser>
          <c:idx val="3"/>
          <c:order val="3"/>
          <c:tx>
            <c:strRef>
              <c:f>'Sztat.stab.'!$B$6</c:f>
              <c:strCache>
                <c:ptCount val="1"/>
                <c:pt idx="0">
                  <c:v>Kezdeti GM1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'Sztat.stab.'!$D$6:$H$6</c:f>
              <c:numCache/>
            </c:numRef>
          </c:val>
          <c:smooth val="0"/>
        </c:ser>
        <c:ser>
          <c:idx val="4"/>
          <c:order val="4"/>
          <c:tx>
            <c:strRef>
              <c:f>'Sztat.stab.'!$A$7</c:f>
              <c:strCache>
                <c:ptCount val="1"/>
                <c:pt idx="0">
                  <c:v>Max.teher TM=….. 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'Sztat.stab.'!$D$7:$J$7</c:f>
              <c:numCache/>
            </c:numRef>
          </c:val>
          <c:smooth val="0"/>
        </c:ser>
        <c:ser>
          <c:idx val="5"/>
          <c:order val="5"/>
          <c:tx>
            <c:strRef>
              <c:f>'Sztat.stab.'!$B$8</c:f>
              <c:strCache>
                <c:ptCount val="1"/>
                <c:pt idx="0">
                  <c:v>Kezdeti GMM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'Sztat.stab.'!$D$8:$H$8</c:f>
              <c:numCache/>
            </c:numRef>
          </c:val>
          <c:smooth val="0"/>
        </c:ser>
        <c:axId val="14504466"/>
        <c:axId val="63431331"/>
      </c:lineChart>
      <c:catAx>
        <c:axId val="14504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dőlésszög, fi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31331"/>
        <c:crosses val="autoZero"/>
        <c:auto val="1"/>
        <c:lblOffset val="100"/>
        <c:noMultiLvlLbl val="0"/>
      </c:catAx>
      <c:valAx>
        <c:axId val="63431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04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pattFill prst="pct5">
      <a:fgClr>
        <a:srgbClr val="FFFFFF"/>
      </a:fgClr>
      <a:bgClr>
        <a:srgbClr val="FFFFFF"/>
      </a:bgClr>
    </a:patt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'Ker.stab.'!$C$6</c:f>
              <c:strCache>
                <c:ptCount val="1"/>
                <c:pt idx="0">
                  <c:v>15°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'Ker.stab.'!$C$7:$I$7</c:f>
              <c:numCache/>
            </c:numRef>
          </c:cat>
          <c:val>
            <c:numRef>
              <c:f>'Ker.stab.'!$C$8:$I$8</c:f>
              <c:numCache/>
            </c:numRef>
          </c:val>
          <c:smooth val="0"/>
        </c:ser>
        <c:ser>
          <c:idx val="1"/>
          <c:order val="1"/>
          <c:tx>
            <c:strRef>
              <c:f>'Ker.stab.'!$C$10</c:f>
              <c:strCache>
                <c:ptCount val="1"/>
                <c:pt idx="0">
                  <c:v>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'Ker.stab.'!$C$12:$I$12</c:f>
              <c:numCache/>
            </c:numRef>
          </c:val>
          <c:smooth val="0"/>
        </c:ser>
        <c:ser>
          <c:idx val="2"/>
          <c:order val="2"/>
          <c:tx>
            <c:strRef>
              <c:f>'Ker.stab.'!$C$14</c:f>
              <c:strCache>
                <c:ptCount val="1"/>
                <c:pt idx="0">
                  <c:v>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'Ker.stab.'!$C$16:$I$16</c:f>
              <c:numCache/>
            </c:numRef>
          </c:val>
          <c:smooth val="0"/>
        </c:ser>
        <c:ser>
          <c:idx val="3"/>
          <c:order val="3"/>
          <c:tx>
            <c:strRef>
              <c:f>'Ker.stab.'!$C$18</c:f>
              <c:strCache>
                <c:ptCount val="1"/>
                <c:pt idx="0">
                  <c:v>60°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'Ker.stab.'!$C$20:$I$20</c:f>
              <c:numCache/>
            </c:numRef>
          </c:val>
          <c:smooth val="0"/>
        </c:ser>
        <c:ser>
          <c:idx val="4"/>
          <c:order val="4"/>
          <c:tx>
            <c:strRef>
              <c:f>'Ker.stab.'!$C$22</c:f>
              <c:strCache>
                <c:ptCount val="1"/>
                <c:pt idx="0">
                  <c:v>75°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'Ker.stab.'!$C$24:$I$24</c:f>
              <c:numCache/>
            </c:numRef>
          </c:val>
          <c:smooth val="0"/>
        </c:ser>
        <c:ser>
          <c:idx val="5"/>
          <c:order val="5"/>
          <c:tx>
            <c:strRef>
              <c:f>'Ker.stab.'!$C$26</c:f>
              <c:strCache>
                <c:ptCount val="1"/>
                <c:pt idx="0">
                  <c:v>90°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'Ker.stab.'!$C$28:$I$28</c:f>
              <c:numCache/>
            </c:numRef>
          </c:val>
          <c:smooth val="0"/>
        </c:ser>
        <c:axId val="34011068"/>
        <c:axId val="37664157"/>
      </c:lineChart>
      <c:catAx>
        <c:axId val="34011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Vízkiszorítás V 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64157"/>
        <c:crosses val="autoZero"/>
        <c:auto val="1"/>
        <c:lblOffset val="100"/>
        <c:noMultiLvlLbl val="0"/>
      </c:catAx>
      <c:valAx>
        <c:axId val="37664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Stabilitás-kar GZ,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11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Vízvonalak!$A$5</c:f>
              <c:strCache>
                <c:ptCount val="1"/>
                <c:pt idx="0">
                  <c:v>yjobb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Vízvonalak!$C$4:$M$4</c:f>
              <c:numCache/>
            </c:numRef>
          </c:cat>
          <c:val>
            <c:numRef>
              <c:f>Vízvonalak!$C$5:$M$5</c:f>
              <c:numCache/>
            </c:numRef>
          </c:val>
          <c:smooth val="0"/>
        </c:ser>
        <c:ser>
          <c:idx val="2"/>
          <c:order val="1"/>
          <c:tx>
            <c:strRef>
              <c:f>Vízvonalak!$A$6</c:f>
              <c:strCache>
                <c:ptCount val="1"/>
                <c:pt idx="0">
                  <c:v>ybal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Vízvonalak!$C$4:$M$4</c:f>
              <c:numCache/>
            </c:numRef>
          </c:cat>
          <c:val>
            <c:numRef>
              <c:f>Vízvonalak!$C$6:$M$6</c:f>
              <c:numCache/>
            </c:numRef>
          </c:val>
          <c:smooth val="0"/>
        </c:ser>
        <c:axId val="14533490"/>
        <c:axId val="63692547"/>
      </c:lineChart>
      <c:catAx>
        <c:axId val="14533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692547"/>
        <c:crosses val="autoZero"/>
        <c:auto val="1"/>
        <c:lblOffset val="100"/>
        <c:noMultiLvlLbl val="0"/>
      </c:catAx>
      <c:valAx>
        <c:axId val="63692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33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Bordák!$A$52:$A$64</c:f>
              <c:strCache/>
            </c:strRef>
          </c:cat>
          <c:val>
            <c:numRef>
              <c:f>Bordák!$C$52:$C$64</c:f>
              <c:numCache/>
            </c:numRef>
          </c:val>
          <c:smooth val="0"/>
        </c:ser>
        <c:axId val="36362012"/>
        <c:axId val="58822653"/>
      </c:lineChart>
      <c:catAx>
        <c:axId val="36362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822653"/>
        <c:crosses val="autoZero"/>
        <c:auto val="1"/>
        <c:lblOffset val="100"/>
        <c:noMultiLvlLbl val="0"/>
      </c:catAx>
      <c:valAx>
        <c:axId val="58822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362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Bordák!$A$68:$A$80</c:f>
              <c:strCache/>
            </c:strRef>
          </c:cat>
          <c:val>
            <c:numRef>
              <c:f>Bordák!$C$68:$C$80</c:f>
              <c:numCache/>
            </c:numRef>
          </c:val>
          <c:smooth val="0"/>
        </c:ser>
        <c:axId val="59641830"/>
        <c:axId val="67014423"/>
      </c:lineChart>
      <c:catAx>
        <c:axId val="59641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14423"/>
        <c:crosses val="autoZero"/>
        <c:auto val="1"/>
        <c:lblOffset val="100"/>
        <c:noMultiLvlLbl val="0"/>
      </c:catAx>
      <c:valAx>
        <c:axId val="67014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41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'[1]vízvonalak'!$B$39:$L$39</c:f>
              <c:strCache>
                <c:ptCount val="11"/>
                <c:pt idx="0">
                  <c:v>far, 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10, tőke</c:v>
                </c:pt>
              </c:strCache>
            </c:strRef>
          </c:cat>
          <c:val>
            <c:numRef>
              <c:f>'[1]vízvonalak'!$B$41:$L$41</c:f>
              <c:numCache>
                <c:ptCount val="11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0.1</c:v>
                </c:pt>
                <c:pt idx="4">
                  <c:v>0.162</c:v>
                </c:pt>
                <c:pt idx="5">
                  <c:v>0.185</c:v>
                </c:pt>
                <c:pt idx="6">
                  <c:v>0.187</c:v>
                </c:pt>
                <c:pt idx="7">
                  <c:v>0.182</c:v>
                </c:pt>
                <c:pt idx="8">
                  <c:v>0.146</c:v>
                </c:pt>
                <c:pt idx="9">
                  <c:v>0.089</c:v>
                </c:pt>
                <c:pt idx="10">
                  <c:v>0.03</c:v>
                </c:pt>
              </c:numCache>
            </c:numRef>
          </c:val>
          <c:smooth val="0"/>
        </c:ser>
        <c:axId val="45118332"/>
        <c:axId val="3411805"/>
      </c:lineChart>
      <c:catAx>
        <c:axId val="451183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11805"/>
        <c:crosses val="autoZero"/>
        <c:auto val="1"/>
        <c:lblOffset val="100"/>
        <c:noMultiLvlLbl val="0"/>
      </c:catAx>
      <c:valAx>
        <c:axId val="3411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18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Bordák!$A$84:$A$96</c:f>
              <c:strCache/>
            </c:strRef>
          </c:cat>
          <c:val>
            <c:numRef>
              <c:f>Bordák!$C$84:$C$96</c:f>
              <c:numCache/>
            </c:numRef>
          </c:val>
          <c:smooth val="0"/>
        </c:ser>
        <c:marker val="1"/>
        <c:axId val="66258896"/>
        <c:axId val="59459153"/>
      </c:lineChart>
      <c:catAx>
        <c:axId val="66258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59153"/>
        <c:crosses val="autoZero"/>
        <c:auto val="1"/>
        <c:lblOffset val="100"/>
        <c:noMultiLvlLbl val="0"/>
      </c:catAx>
      <c:valAx>
        <c:axId val="59459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258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Bordák!$A$100:$A$112</c:f>
              <c:strCache/>
            </c:strRef>
          </c:cat>
          <c:val>
            <c:numRef>
              <c:f>Bordák!$C$100:$C$112</c:f>
              <c:numCache/>
            </c:numRef>
          </c:val>
          <c:smooth val="0"/>
        </c:ser>
        <c:axId val="65370330"/>
        <c:axId val="51462059"/>
      </c:lineChart>
      <c:catAx>
        <c:axId val="65370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62059"/>
        <c:crosses val="autoZero"/>
        <c:auto val="1"/>
        <c:lblOffset val="100"/>
        <c:noMultiLvlLbl val="0"/>
      </c:catAx>
      <c:valAx>
        <c:axId val="51462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70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Bordák!$A$116:$A$128</c:f>
              <c:strCache/>
            </c:strRef>
          </c:cat>
          <c:val>
            <c:numRef>
              <c:f>Bordák!$C$116:$C$128</c:f>
              <c:numCache/>
            </c:numRef>
          </c:val>
          <c:smooth val="0"/>
        </c:ser>
        <c:axId val="60505348"/>
        <c:axId val="7677221"/>
      </c:lineChart>
      <c:catAx>
        <c:axId val="60505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77221"/>
        <c:crosses val="autoZero"/>
        <c:auto val="1"/>
        <c:lblOffset val="100"/>
        <c:noMultiLvlLbl val="0"/>
      </c:catAx>
      <c:valAx>
        <c:axId val="7677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05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Bordák!$A$132:$A$144</c:f>
              <c:strCache/>
            </c:strRef>
          </c:cat>
          <c:val>
            <c:numRef>
              <c:f>Bordák!$C$132:$C$144</c:f>
              <c:numCache/>
            </c:numRef>
          </c:val>
          <c:smooth val="0"/>
        </c:ser>
        <c:marker val="1"/>
        <c:axId val="1986126"/>
        <c:axId val="17875135"/>
      </c:lineChart>
      <c:catAx>
        <c:axId val="1986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75135"/>
        <c:crosses val="autoZero"/>
        <c:auto val="1"/>
        <c:lblOffset val="100"/>
        <c:noMultiLvlLbl val="0"/>
      </c:catAx>
      <c:valAx>
        <c:axId val="17875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6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Bordák!$A$148:$A$160</c:f>
              <c:strCache/>
            </c:strRef>
          </c:cat>
          <c:val>
            <c:numRef>
              <c:f>Bordák!$C$148:$C$160</c:f>
              <c:numCache/>
            </c:numRef>
          </c:val>
          <c:smooth val="0"/>
        </c:ser>
        <c:marker val="1"/>
        <c:axId val="26658488"/>
        <c:axId val="38599801"/>
      </c:lineChart>
      <c:catAx>
        <c:axId val="26658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99801"/>
        <c:crosses val="autoZero"/>
        <c:auto val="1"/>
        <c:lblOffset val="100"/>
        <c:noMultiLvlLbl val="0"/>
      </c:catAx>
      <c:valAx>
        <c:axId val="38599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58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Bordák!$A$164:$A$176</c:f>
              <c:strCache/>
            </c:strRef>
          </c:cat>
          <c:val>
            <c:numRef>
              <c:f>Bordák!$C$164:$C$176</c:f>
              <c:numCache/>
            </c:numRef>
          </c:val>
          <c:smooth val="0"/>
        </c:ser>
        <c:marker val="1"/>
        <c:axId val="11853890"/>
        <c:axId val="39576147"/>
      </c:lineChart>
      <c:catAx>
        <c:axId val="11853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76147"/>
        <c:crosses val="autoZero"/>
        <c:auto val="1"/>
        <c:lblOffset val="100"/>
        <c:noMultiLvlLbl val="0"/>
      </c:catAx>
      <c:valAx>
        <c:axId val="39576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53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Bordák!$A$180:$A$192</c:f>
              <c:strCache/>
            </c:strRef>
          </c:cat>
          <c:val>
            <c:numRef>
              <c:f>Bordák!$C$180:$C$192</c:f>
              <c:numCache/>
            </c:numRef>
          </c:val>
          <c:smooth val="0"/>
        </c:ser>
        <c:marker val="1"/>
        <c:axId val="20641004"/>
        <c:axId val="51551309"/>
      </c:lineChart>
      <c:catAx>
        <c:axId val="20641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51309"/>
        <c:crosses val="autoZero"/>
        <c:auto val="1"/>
        <c:lblOffset val="100"/>
        <c:noMultiLvlLbl val="0"/>
      </c:catAx>
      <c:valAx>
        <c:axId val="51551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41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Bordák!$A$4:$A$16</c:f>
              <c:strCache/>
            </c:strRef>
          </c:cat>
          <c:val>
            <c:numRef>
              <c:f>Bordák!$C$4:$C$16</c:f>
              <c:numCache/>
            </c:numRef>
          </c:val>
          <c:smooth val="0"/>
        </c:ser>
        <c:axId val="61308598"/>
        <c:axId val="14906471"/>
      </c:lineChart>
      <c:catAx>
        <c:axId val="61308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06471"/>
        <c:crosses val="autoZero"/>
        <c:auto val="1"/>
        <c:lblOffset val="100"/>
        <c:noMultiLvlLbl val="0"/>
      </c:catAx>
      <c:valAx>
        <c:axId val="14906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08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Bordák!$A$36:$A$48</c:f>
              <c:strCache/>
            </c:strRef>
          </c:cat>
          <c:val>
            <c:numRef>
              <c:f>Bordák!$C$36:$C$48</c:f>
              <c:numCache/>
            </c:numRef>
          </c:val>
          <c:smooth val="0"/>
        </c:ser>
        <c:axId val="67049376"/>
        <c:axId val="66573473"/>
      </c:lineChart>
      <c:catAx>
        <c:axId val="67049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73473"/>
        <c:crosses val="autoZero"/>
        <c:auto val="1"/>
        <c:lblOffset val="100"/>
        <c:noMultiLvlLbl val="0"/>
      </c:catAx>
      <c:valAx>
        <c:axId val="66573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493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Bordák!$A$20:$A$32</c:f>
              <c:strCache/>
            </c:strRef>
          </c:cat>
          <c:val>
            <c:numRef>
              <c:f>Bordák!$C$20:$C$32</c:f>
              <c:numCache/>
            </c:numRef>
          </c:val>
          <c:smooth val="0"/>
        </c:ser>
        <c:axId val="62290346"/>
        <c:axId val="23742203"/>
      </c:lineChart>
      <c:catAx>
        <c:axId val="62290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742203"/>
        <c:crosses val="autoZero"/>
        <c:auto val="1"/>
        <c:lblOffset val="100"/>
        <c:noMultiLvlLbl val="0"/>
      </c:catAx>
      <c:valAx>
        <c:axId val="23742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290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'[1]vízvonalak'!$B$55:$L$55</c:f>
              <c:strCache>
                <c:ptCount val="11"/>
                <c:pt idx="0">
                  <c:v>far, 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10, tőke</c:v>
                </c:pt>
              </c:strCache>
            </c:strRef>
          </c:cat>
          <c:val>
            <c:numRef>
              <c:f>'[1]vízvonalak'!$B$57:$L$57</c:f>
              <c:numCache>
                <c:ptCount val="11"/>
                <c:pt idx="0">
                  <c:v>0.03</c:v>
                </c:pt>
                <c:pt idx="1">
                  <c:v>0.03</c:v>
                </c:pt>
                <c:pt idx="2">
                  <c:v>0.105</c:v>
                </c:pt>
                <c:pt idx="3">
                  <c:v>0.216</c:v>
                </c:pt>
                <c:pt idx="4">
                  <c:v>0.272</c:v>
                </c:pt>
                <c:pt idx="5">
                  <c:v>0.295</c:v>
                </c:pt>
                <c:pt idx="6">
                  <c:v>0.289</c:v>
                </c:pt>
                <c:pt idx="7">
                  <c:v>0.271</c:v>
                </c:pt>
                <c:pt idx="8">
                  <c:v>0.213</c:v>
                </c:pt>
                <c:pt idx="9">
                  <c:v>0.124</c:v>
                </c:pt>
                <c:pt idx="10">
                  <c:v>0.03</c:v>
                </c:pt>
              </c:numCache>
            </c:numRef>
          </c:val>
          <c:smooth val="0"/>
        </c:ser>
        <c:axId val="30706246"/>
        <c:axId val="7920759"/>
      </c:lineChart>
      <c:catAx>
        <c:axId val="307062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920759"/>
        <c:crosses val="autoZero"/>
        <c:auto val="1"/>
        <c:lblOffset val="100"/>
        <c:noMultiLvlLbl val="0"/>
      </c:catAx>
      <c:valAx>
        <c:axId val="7920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06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Bordák!$B$196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Bordák!$A$197:$A$209</c:f>
              <c:strCache/>
            </c:strRef>
          </c:cat>
          <c:val>
            <c:numRef>
              <c:f>Bordák!$B$197:$B$209</c:f>
              <c:numCache/>
            </c:numRef>
          </c:val>
          <c:smooth val="0"/>
        </c:ser>
        <c:ser>
          <c:idx val="1"/>
          <c:order val="1"/>
          <c:tx>
            <c:strRef>
              <c:f>Bordák!$C$196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Bordák!$C$197:$C$209</c:f>
              <c:numCache/>
            </c:numRef>
          </c:val>
          <c:smooth val="0"/>
        </c:ser>
        <c:ser>
          <c:idx val="2"/>
          <c:order val="2"/>
          <c:tx>
            <c:strRef>
              <c:f>Bordák!$D$196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Bordák!$D$197:$D$209</c:f>
              <c:numCache/>
            </c:numRef>
          </c:val>
          <c:smooth val="0"/>
        </c:ser>
        <c:ser>
          <c:idx val="3"/>
          <c:order val="3"/>
          <c:tx>
            <c:strRef>
              <c:f>Bordák!$E$196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Bordák!$E$197:$E$209</c:f>
              <c:numCache/>
            </c:numRef>
          </c:val>
          <c:smooth val="0"/>
        </c:ser>
        <c:ser>
          <c:idx val="4"/>
          <c:order val="4"/>
          <c:tx>
            <c:strRef>
              <c:f>Bordák!$F$196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Bordák!$F$197:$F$209</c:f>
              <c:numCache/>
            </c:numRef>
          </c:val>
          <c:smooth val="0"/>
        </c:ser>
        <c:ser>
          <c:idx val="5"/>
          <c:order val="5"/>
          <c:tx>
            <c:strRef>
              <c:f>Bordák!$G$196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Bordák!$G$197:$G$209</c:f>
              <c:numCache/>
            </c:numRef>
          </c:val>
          <c:smooth val="0"/>
        </c:ser>
        <c:ser>
          <c:idx val="6"/>
          <c:order val="6"/>
          <c:tx>
            <c:strRef>
              <c:f>Bordák!$H$196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Bordák!$H$197:$H$209</c:f>
              <c:numCache/>
            </c:numRef>
          </c:val>
          <c:smooth val="0"/>
        </c:ser>
        <c:ser>
          <c:idx val="7"/>
          <c:order val="7"/>
          <c:tx>
            <c:strRef>
              <c:f>Bordák!$I$196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Bordák!$I$197:$I$209</c:f>
              <c:numCache/>
            </c:numRef>
          </c:val>
          <c:smooth val="0"/>
        </c:ser>
        <c:ser>
          <c:idx val="8"/>
          <c:order val="8"/>
          <c:tx>
            <c:strRef>
              <c:f>Bordák!$J$196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Bordák!$J$197:$J$209</c:f>
              <c:numCache/>
            </c:numRef>
          </c:val>
          <c:smooth val="0"/>
        </c:ser>
        <c:ser>
          <c:idx val="9"/>
          <c:order val="9"/>
          <c:tx>
            <c:strRef>
              <c:f>Bordák!$K$196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Bordák!$K$197:$K$209</c:f>
              <c:numCache/>
            </c:numRef>
          </c:val>
          <c:smooth val="0"/>
        </c:ser>
        <c:ser>
          <c:idx val="10"/>
          <c:order val="10"/>
          <c:tx>
            <c:strRef>
              <c:f>Bordák!$L$196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Bordák!$L$197:$L$209</c:f>
              <c:numCache/>
            </c:numRef>
          </c:val>
          <c:smooth val="0"/>
        </c:ser>
        <c:axId val="12353236"/>
        <c:axId val="44070261"/>
      </c:lineChart>
      <c:catAx>
        <c:axId val="123532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070261"/>
        <c:crosses val="autoZero"/>
        <c:auto val="1"/>
        <c:lblOffset val="100"/>
        <c:noMultiLvlLbl val="0"/>
      </c:catAx>
      <c:valAx>
        <c:axId val="44070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53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LCF a főbordától 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'[1]jellemzők'!$D$317:$D$325</c:f>
              <c:numCache>
                <c:ptCount val="9"/>
                <c:pt idx="0">
                  <c:v>-0.08051</c:v>
                </c:pt>
                <c:pt idx="1">
                  <c:v>-0.08097</c:v>
                </c:pt>
                <c:pt idx="2">
                  <c:v>-0.05872</c:v>
                </c:pt>
                <c:pt idx="3">
                  <c:v>-0.01644</c:v>
                </c:pt>
                <c:pt idx="4">
                  <c:v>0.04386</c:v>
                </c:pt>
                <c:pt idx="5">
                  <c:v>0.09861</c:v>
                </c:pt>
                <c:pt idx="6">
                  <c:v>0.14904</c:v>
                </c:pt>
                <c:pt idx="7">
                  <c:v>0.12275</c:v>
                </c:pt>
                <c:pt idx="8">
                  <c:v>-0.05789</c:v>
                </c:pt>
              </c:numCache>
            </c:numRef>
          </c:val>
          <c:smooth val="0"/>
        </c:ser>
        <c:axId val="61088030"/>
        <c:axId val="12921359"/>
      </c:lineChart>
      <c:catAx>
        <c:axId val="610880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921359"/>
        <c:crosses val="autoZero"/>
        <c:auto val="1"/>
        <c:lblOffset val="100"/>
        <c:noMultiLvlLbl val="0"/>
      </c:catAx>
      <c:valAx>
        <c:axId val="12921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88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KB az alapvonaltól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'[1]jellemzők'!$E$317:$E$325</c:f>
              <c:numCache>
                <c:ptCount val="9"/>
                <c:pt idx="0">
                  <c:v>0.19136466690476975</c:v>
                </c:pt>
                <c:pt idx="1">
                  <c:v>0.17282944851942408</c:v>
                </c:pt>
                <c:pt idx="2">
                  <c:v>0.15337754810124324</c:v>
                </c:pt>
                <c:pt idx="3">
                  <c:v>0.13282048086955472</c:v>
                </c:pt>
                <c:pt idx="4">
                  <c:v>0.11095589387961903</c:v>
                </c:pt>
                <c:pt idx="5">
                  <c:v>0.08766689924907464</c:v>
                </c:pt>
                <c:pt idx="6">
                  <c:v>0.06251034971174979</c:v>
                </c:pt>
                <c:pt idx="7">
                  <c:v>0.03638223610003284</c:v>
                </c:pt>
                <c:pt idx="8">
                  <c:v>0</c:v>
                </c:pt>
              </c:numCache>
            </c:numRef>
          </c:val>
          <c:smooth val="0"/>
        </c:ser>
        <c:axId val="49183368"/>
        <c:axId val="39997129"/>
      </c:lineChart>
      <c:catAx>
        <c:axId val="491833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997129"/>
        <c:crosses val="autoZero"/>
        <c:auto val="1"/>
        <c:lblOffset val="100"/>
        <c:noMultiLvlLbl val="0"/>
      </c:catAx>
      <c:valAx>
        <c:axId val="39997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83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LCB a főbordától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'[1]jellemzők'!$F$317:$F$325</c:f>
              <c:numCache>
                <c:ptCount val="9"/>
                <c:pt idx="0">
                  <c:v>-0.009572058237526547</c:v>
                </c:pt>
                <c:pt idx="1">
                  <c:v>0.008235805487639225</c:v>
                </c:pt>
                <c:pt idx="2">
                  <c:v>0.03195578193655697</c:v>
                </c:pt>
                <c:pt idx="3">
                  <c:v>0.05958309404379901</c:v>
                </c:pt>
                <c:pt idx="4">
                  <c:v>0.08589467050162347</c:v>
                </c:pt>
                <c:pt idx="5">
                  <c:v>0.09958560442021948</c:v>
                </c:pt>
                <c:pt idx="6">
                  <c:v>0.08146089246090304</c:v>
                </c:pt>
                <c:pt idx="7">
                  <c:v>0.009517196077511388</c:v>
                </c:pt>
                <c:pt idx="8">
                  <c:v>-0.05789</c:v>
                </c:pt>
              </c:numCache>
            </c:numRef>
          </c:val>
          <c:smooth val="0"/>
        </c:ser>
        <c:axId val="24429842"/>
        <c:axId val="18541987"/>
      </c:lineChart>
      <c:catAx>
        <c:axId val="244298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541987"/>
        <c:crosses val="autoZero"/>
        <c:auto val="1"/>
        <c:lblOffset val="100"/>
        <c:noMultiLvlLbl val="0"/>
      </c:catAx>
      <c:valAx>
        <c:axId val="18541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29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Metacentrikus magasság KM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'[1]jellemzők'!$G$317:$G$325</c:f>
              <c:numCache>
                <c:ptCount val="9"/>
                <c:pt idx="0">
                  <c:v>0.536852780389389</c:v>
                </c:pt>
                <c:pt idx="1">
                  <c:v>0.5856619298115632</c:v>
                </c:pt>
                <c:pt idx="2">
                  <c:v>0.6390792342012774</c:v>
                </c:pt>
                <c:pt idx="3">
                  <c:v>0.6799157645321614</c:v>
                </c:pt>
                <c:pt idx="4">
                  <c:v>0.6496323282460521</c:v>
                </c:pt>
                <c:pt idx="5">
                  <c:v>0.48838989759769824</c:v>
                </c:pt>
                <c:pt idx="6">
                  <c:v>0.26085429838747815</c:v>
                </c:pt>
                <c:pt idx="7">
                  <c:v>0.06624023996451163</c:v>
                </c:pt>
                <c:pt idx="8">
                  <c:v>0</c:v>
                </c:pt>
              </c:numCache>
            </c:numRef>
          </c:val>
          <c:smooth val="0"/>
        </c:ser>
        <c:axId val="32660156"/>
        <c:axId val="25505949"/>
      </c:lineChart>
      <c:catAx>
        <c:axId val="326601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505949"/>
        <c:crosses val="autoZero"/>
        <c:auto val="1"/>
        <c:lblOffset val="100"/>
        <c:noMultiLvlLbl val="0"/>
      </c:catAx>
      <c:valAx>
        <c:axId val="25505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60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Hosszirányú metacentrikus magasság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'[1]jellemzők'!$H$317:$H$325</c:f>
              <c:numCache>
                <c:ptCount val="9"/>
                <c:pt idx="0">
                  <c:v>2.2499051670212213</c:v>
                </c:pt>
                <c:pt idx="1">
                  <c:v>2.6506781497493965</c:v>
                </c:pt>
                <c:pt idx="2">
                  <c:v>2.9065548706397806</c:v>
                </c:pt>
                <c:pt idx="3">
                  <c:v>3.3380422655122595</c:v>
                </c:pt>
                <c:pt idx="4">
                  <c:v>3.655645210958218</c:v>
                </c:pt>
                <c:pt idx="5">
                  <c:v>4.328497104241312</c:v>
                </c:pt>
                <c:pt idx="6">
                  <c:v>5.397925160741409</c:v>
                </c:pt>
                <c:pt idx="7">
                  <c:v>7.352176341970117</c:v>
                </c:pt>
              </c:numCache>
            </c:numRef>
          </c:val>
          <c:smooth val="0"/>
        </c:ser>
        <c:axId val="28226950"/>
        <c:axId val="52715959"/>
      </c:lineChart>
      <c:catAx>
        <c:axId val="282269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715959"/>
        <c:crosses val="autoZero"/>
        <c:auto val="1"/>
        <c:lblOffset val="100"/>
        <c:noMultiLvlLbl val="0"/>
      </c:catAx>
      <c:valAx>
        <c:axId val="52715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26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Nedvesített felület WS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'[1]jellemzők'!$I$327:$I$335</c:f>
              <c:numCache>
                <c:ptCount val="9"/>
                <c:pt idx="0">
                  <c:v>2.3795540000000006</c:v>
                </c:pt>
                <c:pt idx="1">
                  <c:v>2.20694</c:v>
                </c:pt>
                <c:pt idx="2">
                  <c:v>2.016217</c:v>
                </c:pt>
                <c:pt idx="3">
                  <c:v>1.791568</c:v>
                </c:pt>
                <c:pt idx="4">
                  <c:v>1.495658</c:v>
                </c:pt>
                <c:pt idx="5">
                  <c:v>1.1535480000000002</c:v>
                </c:pt>
                <c:pt idx="6">
                  <c:v>0.791638</c:v>
                </c:pt>
                <c:pt idx="7">
                  <c:v>0.4506321799999999</c:v>
                </c:pt>
                <c:pt idx="8">
                  <c:v>0.1254</c:v>
                </c:pt>
              </c:numCache>
            </c:numRef>
          </c:val>
          <c:smooth val="0"/>
        </c:ser>
        <c:axId val="4681584"/>
        <c:axId val="42134257"/>
      </c:lineChart>
      <c:catAx>
        <c:axId val="46815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134257"/>
        <c:crosses val="autoZero"/>
        <c:auto val="1"/>
        <c:lblOffset val="100"/>
        <c:noMultiLvlLbl val="0"/>
      </c:catAx>
      <c:valAx>
        <c:axId val="42134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1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Vízkiszorítás térfogata V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'[1]jellemzők'!$C$317:$C$325</c:f>
              <c:numCache>
                <c:ptCount val="9"/>
                <c:pt idx="0">
                  <c:v>0.25285964000000005</c:v>
                </c:pt>
                <c:pt idx="1">
                  <c:v>0.20245499999999997</c:v>
                </c:pt>
                <c:pt idx="2">
                  <c:v>0.15408635</c:v>
                </c:pt>
                <c:pt idx="3">
                  <c:v>0.10956044000000001</c:v>
                </c:pt>
                <c:pt idx="4">
                  <c:v>0.07121158</c:v>
                </c:pt>
                <c:pt idx="5">
                  <c:v>0.041250440000000006</c:v>
                </c:pt>
                <c:pt idx="6">
                  <c:v>0.020721580000000003</c:v>
                </c:pt>
                <c:pt idx="7">
                  <c:v>0.009377719999999999</c:v>
                </c:pt>
                <c:pt idx="8">
                  <c:v>0</c:v>
                </c:pt>
              </c:numCache>
            </c:numRef>
          </c:val>
          <c:smooth val="0"/>
        </c:ser>
        <c:axId val="43663994"/>
        <c:axId val="57431627"/>
      </c:lineChart>
      <c:catAx>
        <c:axId val="436639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431627"/>
        <c:crosses val="autoZero"/>
        <c:auto val="1"/>
        <c:lblOffset val="100"/>
        <c:noMultiLvlLbl val="0"/>
      </c:catAx>
      <c:valAx>
        <c:axId val="57431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63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TPC merülésnövekedés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'[1]jellemzők'!$C$327:$C$335</c:f>
              <c:numCache>
                <c:ptCount val="9"/>
                <c:pt idx="0">
                  <c:v>0.01668040180401804</c:v>
                </c:pt>
                <c:pt idx="1">
                  <c:v>0.016364698646986472</c:v>
                </c:pt>
                <c:pt idx="2">
                  <c:v>0.015318368183681836</c:v>
                </c:pt>
                <c:pt idx="3">
                  <c:v>0.01382328823288233</c:v>
                </c:pt>
                <c:pt idx="4">
                  <c:v>0.011333743337433375</c:v>
                </c:pt>
                <c:pt idx="5">
                  <c:v>0.008321033210332103</c:v>
                </c:pt>
                <c:pt idx="6">
                  <c:v>0.0051459614596145965</c:v>
                </c:pt>
                <c:pt idx="7">
                  <c:v>0.002295612956129561</c:v>
                </c:pt>
                <c:pt idx="8">
                  <c:v>0.0012853628536285363</c:v>
                </c:pt>
              </c:numCache>
            </c:numRef>
          </c:val>
          <c:smooth val="0"/>
        </c:ser>
        <c:axId val="47122596"/>
        <c:axId val="21450181"/>
      </c:lineChart>
      <c:catAx>
        <c:axId val="471225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450181"/>
        <c:crosses val="autoZero"/>
        <c:auto val="1"/>
        <c:lblOffset val="100"/>
        <c:noMultiLvlLbl val="0"/>
      </c:catAx>
      <c:valAx>
        <c:axId val="21450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tonna/cm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22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MTcm nyomaték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'[1]jellemzők'!$D$327:$D$335</c:f>
              <c:numCache>
                <c:ptCount val="9"/>
                <c:pt idx="0">
                  <c:v>0.002425158431952217</c:v>
                </c:pt>
                <c:pt idx="1">
                  <c:v>0.0023372462739895536</c:v>
                </c:pt>
                <c:pt idx="2">
                  <c:v>0.0019765123665729744</c:v>
                </c:pt>
                <c:pt idx="3">
                  <c:v>0.0016361120306755271</c:v>
                </c:pt>
                <c:pt idx="4">
                  <c:v>0.0011760613638647508</c:v>
                </c:pt>
                <c:pt idx="5">
                  <c:v>0.0008150432487238659</c:v>
                </c:pt>
                <c:pt idx="6">
                  <c:v>0.0005151008202769745</c:v>
                </c:pt>
                <c:pt idx="7">
                  <c:v>0.00031963911554573865</c:v>
                </c:pt>
                <c:pt idx="8">
                  <c:v>0.002425158431952217</c:v>
                </c:pt>
              </c:numCache>
            </c:numRef>
          </c:val>
          <c:smooth val="0"/>
        </c:ser>
        <c:axId val="58833902"/>
        <c:axId val="59743071"/>
      </c:lineChart>
      <c:catAx>
        <c:axId val="588339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743071"/>
        <c:crosses val="autoZero"/>
        <c:auto val="1"/>
        <c:lblOffset val="100"/>
        <c:noMultiLvlLbl val="0"/>
      </c:catAx>
      <c:valAx>
        <c:axId val="59743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métertonna/cm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833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'[1]vízvonalak'!$B$76:$L$76</c:f>
              <c:strCache>
                <c:ptCount val="11"/>
                <c:pt idx="0">
                  <c:v>far, 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10, tőke</c:v>
                </c:pt>
              </c:strCache>
            </c:strRef>
          </c:cat>
          <c:val>
            <c:numRef>
              <c:f>'[1]vízvonalak'!$B$78:$L$78</c:f>
              <c:numCache>
                <c:ptCount val="11"/>
                <c:pt idx="0">
                  <c:v>0.03</c:v>
                </c:pt>
                <c:pt idx="1">
                  <c:v>0.054</c:v>
                </c:pt>
                <c:pt idx="2">
                  <c:v>0.236</c:v>
                </c:pt>
                <c:pt idx="3">
                  <c:v>0.326</c:v>
                </c:pt>
                <c:pt idx="4">
                  <c:v>0.366</c:v>
                </c:pt>
                <c:pt idx="5">
                  <c:v>0.38</c:v>
                </c:pt>
                <c:pt idx="6">
                  <c:v>0.371</c:v>
                </c:pt>
                <c:pt idx="7">
                  <c:v>0.335</c:v>
                </c:pt>
                <c:pt idx="8">
                  <c:v>0.258</c:v>
                </c:pt>
                <c:pt idx="9">
                  <c:v>0.157</c:v>
                </c:pt>
                <c:pt idx="10">
                  <c:v>0.03</c:v>
                </c:pt>
              </c:numCache>
            </c:numRef>
          </c:val>
          <c:smooth val="0"/>
        </c:ser>
        <c:axId val="4177968"/>
        <c:axId val="37601713"/>
      </c:lineChart>
      <c:catAx>
        <c:axId val="41779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601713"/>
        <c:crosses val="autoZero"/>
        <c:auto val="1"/>
        <c:lblOffset val="100"/>
        <c:noMultiLvlLbl val="0"/>
      </c:catAx>
      <c:valAx>
        <c:axId val="37601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7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dVPC vízkiszorítás változás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'[1]jellemzők'!$E$327:$E$335</c:f>
              <c:numCache>
                <c:ptCount val="9"/>
                <c:pt idx="0">
                  <c:v>-0.0006104268860188601</c:v>
                </c:pt>
                <c:pt idx="1">
                  <c:v>-0.000602295295202952</c:v>
                </c:pt>
                <c:pt idx="2">
                  <c:v>-0.0004088611726117261</c:v>
                </c:pt>
                <c:pt idx="3">
                  <c:v>-0.00010329766297662977</c:v>
                </c:pt>
                <c:pt idx="4">
                  <c:v>0.00022595362853628537</c:v>
                </c:pt>
                <c:pt idx="5">
                  <c:v>0.0003729714022140221</c:v>
                </c:pt>
                <c:pt idx="6">
                  <c:v>0.00034861549815498155</c:v>
                </c:pt>
                <c:pt idx="7">
                  <c:v>0.00012808476834768345</c:v>
                </c:pt>
                <c:pt idx="8">
                  <c:v>-3.3822570725707256E-05</c:v>
                </c:pt>
              </c:numCache>
            </c:numRef>
          </c:val>
          <c:smooth val="0"/>
        </c:ser>
        <c:axId val="816728"/>
        <c:axId val="7350553"/>
      </c:lineChart>
      <c:catAx>
        <c:axId val="8167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350553"/>
        <c:crosses val="autoZero"/>
        <c:auto val="1"/>
        <c:lblOffset val="100"/>
        <c:noMultiLvlLbl val="0"/>
      </c:catAx>
      <c:valAx>
        <c:axId val="7350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m3/cm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6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Hasábos teltség CB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'[1]jellemzők'!$F$327:$F$335</c:f>
              <c:numCache>
                <c:ptCount val="9"/>
                <c:pt idx="0">
                  <c:v>0.4549993388950601</c:v>
                </c:pt>
                <c:pt idx="1">
                  <c:v>0.41174496644295294</c:v>
                </c:pt>
                <c:pt idx="2">
                  <c:v>0.3629322691904306</c:v>
                </c:pt>
                <c:pt idx="3">
                  <c:v>0.31320880503144655</c:v>
                </c:pt>
                <c:pt idx="4">
                  <c:v>0.27249301276223187</c:v>
                </c:pt>
                <c:pt idx="5">
                  <c:v>0.25424</c:v>
                </c:pt>
                <c:pt idx="6">
                  <c:v>0.26848853516983456</c:v>
                </c:pt>
                <c:pt idx="7">
                  <c:v>0.4486947368421052</c:v>
                </c:pt>
                <c:pt idx="8">
                  <c:v>0.95</c:v>
                </c:pt>
              </c:numCache>
            </c:numRef>
          </c:val>
          <c:smooth val="0"/>
        </c:ser>
        <c:axId val="66154978"/>
        <c:axId val="58523891"/>
      </c:lineChart>
      <c:catAx>
        <c:axId val="661549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523891"/>
        <c:crosses val="autoZero"/>
        <c:auto val="1"/>
        <c:lblOffset val="100"/>
        <c:noMultiLvlLbl val="0"/>
      </c:catAx>
      <c:valAx>
        <c:axId val="58523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54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Főbordateltség CM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'[1]jellemzők'!$G$327:$G$335</c:f>
              <c:numCache>
                <c:ptCount val="9"/>
                <c:pt idx="0">
                  <c:v>0.622879614769797</c:v>
                </c:pt>
                <c:pt idx="1">
                  <c:v>0.5785234899328859</c:v>
                </c:pt>
                <c:pt idx="2">
                  <c:v>0.5264439718605297</c:v>
                </c:pt>
                <c:pt idx="3">
                  <c:v>0.4689496855345912</c:v>
                </c:pt>
                <c:pt idx="4">
                  <c:v>0.41618682021753045</c:v>
                </c:pt>
                <c:pt idx="5">
                  <c:v>0.3843254237288136</c:v>
                </c:pt>
                <c:pt idx="6">
                  <c:v>0.38037467361435756</c:v>
                </c:pt>
                <c:pt idx="7">
                  <c:v>0.5461052631578948</c:v>
                </c:pt>
                <c:pt idx="8">
                  <c:v>1</c:v>
                </c:pt>
              </c:numCache>
            </c:numRef>
          </c:val>
          <c:smooth val="0"/>
        </c:ser>
        <c:axId val="56952972"/>
        <c:axId val="42814701"/>
      </c:lineChart>
      <c:catAx>
        <c:axId val="569529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814701"/>
        <c:crosses val="autoZero"/>
        <c:auto val="1"/>
        <c:lblOffset val="100"/>
        <c:noMultiLvlLbl val="0"/>
      </c:catAx>
      <c:valAx>
        <c:axId val="428147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52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Hengeres teltség CP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'[1]jellemzők'!$H$327:$H$335</c:f>
              <c:numCache>
                <c:ptCount val="9"/>
                <c:pt idx="0">
                  <c:v>0.7304771710392515</c:v>
                </c:pt>
                <c:pt idx="1">
                  <c:v>0.7117169373549882</c:v>
                </c:pt>
                <c:pt idx="2">
                  <c:v>0.6894034096501762</c:v>
                </c:pt>
                <c:pt idx="3">
                  <c:v>0.6678942639110551</c:v>
                </c:pt>
                <c:pt idx="4">
                  <c:v>0.6547372466523725</c:v>
                </c:pt>
                <c:pt idx="5">
                  <c:v>0.6615227208580299</c:v>
                </c:pt>
                <c:pt idx="6">
                  <c:v>0.7058528177458033</c:v>
                </c:pt>
                <c:pt idx="7">
                  <c:v>0.8216268311488047</c:v>
                </c:pt>
                <c:pt idx="8">
                  <c:v>0.95</c:v>
                </c:pt>
              </c:numCache>
            </c:numRef>
          </c:val>
          <c:smooth val="0"/>
        </c:ser>
        <c:axId val="49787990"/>
        <c:axId val="45438727"/>
      </c:lineChart>
      <c:catAx>
        <c:axId val="497879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438727"/>
        <c:crosses val="autoZero"/>
        <c:auto val="1"/>
        <c:lblOffset val="100"/>
        <c:noMultiLvlLbl val="0"/>
      </c:catAx>
      <c:valAx>
        <c:axId val="45438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87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LCF a főbordától 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'[1]jellemzők'!$D$317:$D$325</c:f>
              <c:numCache>
                <c:ptCount val="9"/>
                <c:pt idx="0">
                  <c:v>-0.08051</c:v>
                </c:pt>
                <c:pt idx="1">
                  <c:v>-0.08097</c:v>
                </c:pt>
                <c:pt idx="2">
                  <c:v>-0.05872</c:v>
                </c:pt>
                <c:pt idx="3">
                  <c:v>-0.01644</c:v>
                </c:pt>
                <c:pt idx="4">
                  <c:v>0.04386</c:v>
                </c:pt>
                <c:pt idx="5">
                  <c:v>0.09861</c:v>
                </c:pt>
                <c:pt idx="6">
                  <c:v>0.14904</c:v>
                </c:pt>
                <c:pt idx="7">
                  <c:v>0.12275</c:v>
                </c:pt>
                <c:pt idx="8">
                  <c:v>-0.05789</c:v>
                </c:pt>
              </c:numCache>
            </c:numRef>
          </c:val>
          <c:smooth val="0"/>
        </c:ser>
        <c:axId val="6295360"/>
        <c:axId val="56658241"/>
      </c:lineChart>
      <c:catAx>
        <c:axId val="62953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658241"/>
        <c:crosses val="autoZero"/>
        <c:auto val="1"/>
        <c:lblOffset val="100"/>
        <c:noMultiLvlLbl val="0"/>
      </c:catAx>
      <c:valAx>
        <c:axId val="56658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5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KB az alapvonaltól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'[1]jellemzők'!$E$317:$E$325</c:f>
              <c:numCache>
                <c:ptCount val="9"/>
                <c:pt idx="0">
                  <c:v>0.19136466690476975</c:v>
                </c:pt>
                <c:pt idx="1">
                  <c:v>0.17282944851942408</c:v>
                </c:pt>
                <c:pt idx="2">
                  <c:v>0.15337754810124324</c:v>
                </c:pt>
                <c:pt idx="3">
                  <c:v>0.13282048086955472</c:v>
                </c:pt>
                <c:pt idx="4">
                  <c:v>0.11095589387961903</c:v>
                </c:pt>
                <c:pt idx="5">
                  <c:v>0.08766689924907464</c:v>
                </c:pt>
                <c:pt idx="6">
                  <c:v>0.06251034971174979</c:v>
                </c:pt>
                <c:pt idx="7">
                  <c:v>0.03638223610003284</c:v>
                </c:pt>
                <c:pt idx="8">
                  <c:v>0</c:v>
                </c:pt>
              </c:numCache>
            </c:numRef>
          </c:val>
          <c:smooth val="0"/>
        </c:ser>
        <c:axId val="40162122"/>
        <c:axId val="25914779"/>
      </c:lineChart>
      <c:catAx>
        <c:axId val="401621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914779"/>
        <c:crosses val="autoZero"/>
        <c:auto val="1"/>
        <c:lblOffset val="100"/>
        <c:noMultiLvlLbl val="0"/>
      </c:catAx>
      <c:valAx>
        <c:axId val="25914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62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LCB a főbordától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'[1]jellemzők'!$F$317:$F$325</c:f>
              <c:numCache>
                <c:ptCount val="9"/>
                <c:pt idx="0">
                  <c:v>-0.009572058237526547</c:v>
                </c:pt>
                <c:pt idx="1">
                  <c:v>0.008235805487639225</c:v>
                </c:pt>
                <c:pt idx="2">
                  <c:v>0.03195578193655697</c:v>
                </c:pt>
                <c:pt idx="3">
                  <c:v>0.05958309404379901</c:v>
                </c:pt>
                <c:pt idx="4">
                  <c:v>0.08589467050162347</c:v>
                </c:pt>
                <c:pt idx="5">
                  <c:v>0.09958560442021948</c:v>
                </c:pt>
                <c:pt idx="6">
                  <c:v>0.08146089246090304</c:v>
                </c:pt>
                <c:pt idx="7">
                  <c:v>0.009517196077511388</c:v>
                </c:pt>
                <c:pt idx="8">
                  <c:v>-0.05789</c:v>
                </c:pt>
              </c:numCache>
            </c:numRef>
          </c:val>
          <c:smooth val="0"/>
        </c:ser>
        <c:axId val="31906420"/>
        <c:axId val="18722325"/>
      </c:lineChart>
      <c:catAx>
        <c:axId val="319064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722325"/>
        <c:crosses val="autoZero"/>
        <c:auto val="1"/>
        <c:lblOffset val="100"/>
        <c:noMultiLvlLbl val="0"/>
      </c:catAx>
      <c:valAx>
        <c:axId val="18722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06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Metacentrikus magasság KM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'[1]jellemzők'!$G$317:$G$325</c:f>
              <c:numCache>
                <c:ptCount val="9"/>
                <c:pt idx="0">
                  <c:v>0.536852780389389</c:v>
                </c:pt>
                <c:pt idx="1">
                  <c:v>0.5856619298115632</c:v>
                </c:pt>
                <c:pt idx="2">
                  <c:v>0.6390792342012774</c:v>
                </c:pt>
                <c:pt idx="3">
                  <c:v>0.6799157645321614</c:v>
                </c:pt>
                <c:pt idx="4">
                  <c:v>0.6496323282460521</c:v>
                </c:pt>
                <c:pt idx="5">
                  <c:v>0.48838989759769824</c:v>
                </c:pt>
                <c:pt idx="6">
                  <c:v>0.26085429838747815</c:v>
                </c:pt>
                <c:pt idx="7">
                  <c:v>0.06624023996451163</c:v>
                </c:pt>
                <c:pt idx="8">
                  <c:v>0</c:v>
                </c:pt>
              </c:numCache>
            </c:numRef>
          </c:val>
          <c:smooth val="0"/>
        </c:ser>
        <c:axId val="34283198"/>
        <c:axId val="40113327"/>
      </c:lineChart>
      <c:catAx>
        <c:axId val="342831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113327"/>
        <c:crosses val="autoZero"/>
        <c:auto val="1"/>
        <c:lblOffset val="100"/>
        <c:noMultiLvlLbl val="0"/>
      </c:catAx>
      <c:valAx>
        <c:axId val="40113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83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Hosszirányú metacentrikus magasság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'[1]jellemzők'!$H$317:$H$325</c:f>
              <c:numCache>
                <c:ptCount val="9"/>
                <c:pt idx="0">
                  <c:v>2.2499051670212213</c:v>
                </c:pt>
                <c:pt idx="1">
                  <c:v>2.6506781497493965</c:v>
                </c:pt>
                <c:pt idx="2">
                  <c:v>2.9065548706397806</c:v>
                </c:pt>
                <c:pt idx="3">
                  <c:v>3.3380422655122595</c:v>
                </c:pt>
                <c:pt idx="4">
                  <c:v>3.655645210958218</c:v>
                </c:pt>
                <c:pt idx="5">
                  <c:v>4.328497104241312</c:v>
                </c:pt>
                <c:pt idx="6">
                  <c:v>5.397925160741409</c:v>
                </c:pt>
                <c:pt idx="7">
                  <c:v>7.352176341970117</c:v>
                </c:pt>
              </c:numCache>
            </c:numRef>
          </c:val>
          <c:smooth val="0"/>
        </c:ser>
        <c:axId val="25475624"/>
        <c:axId val="27954025"/>
      </c:lineChart>
      <c:catAx>
        <c:axId val="254756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954025"/>
        <c:crosses val="autoZero"/>
        <c:auto val="1"/>
        <c:lblOffset val="100"/>
        <c:noMultiLvlLbl val="0"/>
      </c:catAx>
      <c:valAx>
        <c:axId val="27954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75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Nedvesített felület WS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'[1]jellemzők'!$I$327:$I$335</c:f>
              <c:numCache>
                <c:ptCount val="9"/>
                <c:pt idx="0">
                  <c:v>2.3795540000000006</c:v>
                </c:pt>
                <c:pt idx="1">
                  <c:v>2.20694</c:v>
                </c:pt>
                <c:pt idx="2">
                  <c:v>2.016217</c:v>
                </c:pt>
                <c:pt idx="3">
                  <c:v>1.791568</c:v>
                </c:pt>
                <c:pt idx="4">
                  <c:v>1.495658</c:v>
                </c:pt>
                <c:pt idx="5">
                  <c:v>1.1535480000000002</c:v>
                </c:pt>
                <c:pt idx="6">
                  <c:v>0.791638</c:v>
                </c:pt>
                <c:pt idx="7">
                  <c:v>0.4506321799999999</c:v>
                </c:pt>
                <c:pt idx="8">
                  <c:v>0.1254</c:v>
                </c:pt>
              </c:numCache>
            </c:numRef>
          </c:val>
          <c:smooth val="0"/>
        </c:ser>
        <c:axId val="50259634"/>
        <c:axId val="49683523"/>
      </c:lineChart>
      <c:catAx>
        <c:axId val="502596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683523"/>
        <c:crosses val="autoZero"/>
        <c:auto val="1"/>
        <c:lblOffset val="100"/>
        <c:noMultiLvlLbl val="0"/>
      </c:catAx>
      <c:valAx>
        <c:axId val="49683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59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'[1]vízvonalak'!$B$95:$L$95</c:f>
              <c:strCache>
                <c:ptCount val="11"/>
                <c:pt idx="0">
                  <c:v>far, 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10, tőke</c:v>
                </c:pt>
              </c:strCache>
            </c:strRef>
          </c:cat>
          <c:val>
            <c:numRef>
              <c:f>'[1]vízvonalak'!$B$97:$L$97</c:f>
              <c:numCache>
                <c:ptCount val="11"/>
                <c:pt idx="0">
                  <c:v>0.03</c:v>
                </c:pt>
                <c:pt idx="1">
                  <c:v>0.198</c:v>
                </c:pt>
                <c:pt idx="2">
                  <c:v>0.342</c:v>
                </c:pt>
                <c:pt idx="3">
                  <c:v>0.39</c:v>
                </c:pt>
                <c:pt idx="4">
                  <c:v>0.417</c:v>
                </c:pt>
                <c:pt idx="5">
                  <c:v>0.424</c:v>
                </c:pt>
                <c:pt idx="6">
                  <c:v>0.409</c:v>
                </c:pt>
                <c:pt idx="7">
                  <c:v>0.373</c:v>
                </c:pt>
                <c:pt idx="8">
                  <c:v>0.297</c:v>
                </c:pt>
                <c:pt idx="9">
                  <c:v>0.185</c:v>
                </c:pt>
                <c:pt idx="10">
                  <c:v>0.03</c:v>
                </c:pt>
              </c:numCache>
            </c:numRef>
          </c:val>
          <c:smooth val="0"/>
        </c:ser>
        <c:axId val="2871098"/>
        <c:axId val="25839883"/>
      </c:lineChart>
      <c:catAx>
        <c:axId val="28710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839883"/>
        <c:crosses val="autoZero"/>
        <c:auto val="1"/>
        <c:lblOffset val="100"/>
        <c:noMultiLvlLbl val="0"/>
      </c:catAx>
      <c:valAx>
        <c:axId val="25839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10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Vízkiszorítás térfogata V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'[1]jellemzők'!$C$317:$C$325</c:f>
              <c:numCache>
                <c:ptCount val="9"/>
                <c:pt idx="0">
                  <c:v>0.25285964000000005</c:v>
                </c:pt>
                <c:pt idx="1">
                  <c:v>0.20245499999999997</c:v>
                </c:pt>
                <c:pt idx="2">
                  <c:v>0.15408635</c:v>
                </c:pt>
                <c:pt idx="3">
                  <c:v>0.10956044000000001</c:v>
                </c:pt>
                <c:pt idx="4">
                  <c:v>0.07121158</c:v>
                </c:pt>
                <c:pt idx="5">
                  <c:v>0.041250440000000006</c:v>
                </c:pt>
                <c:pt idx="6">
                  <c:v>0.020721580000000003</c:v>
                </c:pt>
                <c:pt idx="7">
                  <c:v>0.009377719999999999</c:v>
                </c:pt>
                <c:pt idx="8">
                  <c:v>0</c:v>
                </c:pt>
              </c:numCache>
            </c:numRef>
          </c:val>
          <c:smooth val="0"/>
        </c:ser>
        <c:axId val="44498524"/>
        <c:axId val="64942397"/>
      </c:lineChart>
      <c:catAx>
        <c:axId val="444985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942397"/>
        <c:crosses val="autoZero"/>
        <c:auto val="1"/>
        <c:lblOffset val="100"/>
        <c:noMultiLvlLbl val="0"/>
      </c:catAx>
      <c:valAx>
        <c:axId val="64942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98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TPC merülésnövekedés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'[1]jellemzők'!$C$327:$C$335</c:f>
              <c:numCache>
                <c:ptCount val="9"/>
                <c:pt idx="0">
                  <c:v>0.01668040180401804</c:v>
                </c:pt>
                <c:pt idx="1">
                  <c:v>0.016364698646986472</c:v>
                </c:pt>
                <c:pt idx="2">
                  <c:v>0.015318368183681836</c:v>
                </c:pt>
                <c:pt idx="3">
                  <c:v>0.01382328823288233</c:v>
                </c:pt>
                <c:pt idx="4">
                  <c:v>0.011333743337433375</c:v>
                </c:pt>
                <c:pt idx="5">
                  <c:v>0.008321033210332103</c:v>
                </c:pt>
                <c:pt idx="6">
                  <c:v>0.0051459614596145965</c:v>
                </c:pt>
                <c:pt idx="7">
                  <c:v>0.002295612956129561</c:v>
                </c:pt>
                <c:pt idx="8">
                  <c:v>0.0012853628536285363</c:v>
                </c:pt>
              </c:numCache>
            </c:numRef>
          </c:val>
          <c:smooth val="0"/>
        </c:ser>
        <c:axId val="47610662"/>
        <c:axId val="25842775"/>
      </c:lineChart>
      <c:catAx>
        <c:axId val="476106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842775"/>
        <c:crosses val="autoZero"/>
        <c:auto val="1"/>
        <c:lblOffset val="100"/>
        <c:noMultiLvlLbl val="0"/>
      </c:catAx>
      <c:valAx>
        <c:axId val="25842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tonna/cm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10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MTcm nyomaték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'[1]jellemzők'!$D$327:$D$335</c:f>
              <c:numCache>
                <c:ptCount val="9"/>
                <c:pt idx="0">
                  <c:v>0.002425158431952217</c:v>
                </c:pt>
                <c:pt idx="1">
                  <c:v>0.0023372462739895536</c:v>
                </c:pt>
                <c:pt idx="2">
                  <c:v>0.0019765123665729744</c:v>
                </c:pt>
                <c:pt idx="3">
                  <c:v>0.0016361120306755271</c:v>
                </c:pt>
                <c:pt idx="4">
                  <c:v>0.0011760613638647508</c:v>
                </c:pt>
                <c:pt idx="5">
                  <c:v>0.0008150432487238659</c:v>
                </c:pt>
                <c:pt idx="6">
                  <c:v>0.0005151008202769745</c:v>
                </c:pt>
                <c:pt idx="7">
                  <c:v>0.00031963911554573865</c:v>
                </c:pt>
                <c:pt idx="8">
                  <c:v>0.002425158431952217</c:v>
                </c:pt>
              </c:numCache>
            </c:numRef>
          </c:val>
          <c:smooth val="0"/>
        </c:ser>
        <c:axId val="31258384"/>
        <c:axId val="12890001"/>
      </c:lineChart>
      <c:catAx>
        <c:axId val="312583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890001"/>
        <c:crosses val="autoZero"/>
        <c:auto val="1"/>
        <c:lblOffset val="100"/>
        <c:noMultiLvlLbl val="0"/>
      </c:catAx>
      <c:valAx>
        <c:axId val="12890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métertonna/cm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58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dVPC vízkiszorítás változás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'[1]jellemzők'!$E$327:$E$335</c:f>
              <c:numCache>
                <c:ptCount val="9"/>
                <c:pt idx="0">
                  <c:v>-0.0006104268860188601</c:v>
                </c:pt>
                <c:pt idx="1">
                  <c:v>-0.000602295295202952</c:v>
                </c:pt>
                <c:pt idx="2">
                  <c:v>-0.0004088611726117261</c:v>
                </c:pt>
                <c:pt idx="3">
                  <c:v>-0.00010329766297662977</c:v>
                </c:pt>
                <c:pt idx="4">
                  <c:v>0.00022595362853628537</c:v>
                </c:pt>
                <c:pt idx="5">
                  <c:v>0.0003729714022140221</c:v>
                </c:pt>
                <c:pt idx="6">
                  <c:v>0.00034861549815498155</c:v>
                </c:pt>
                <c:pt idx="7">
                  <c:v>0.00012808476834768345</c:v>
                </c:pt>
                <c:pt idx="8">
                  <c:v>-3.3822570725707256E-05</c:v>
                </c:pt>
              </c:numCache>
            </c:numRef>
          </c:val>
          <c:smooth val="0"/>
        </c:ser>
        <c:axId val="48901146"/>
        <c:axId val="37457131"/>
      </c:lineChart>
      <c:catAx>
        <c:axId val="489011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457131"/>
        <c:crosses val="autoZero"/>
        <c:auto val="1"/>
        <c:lblOffset val="100"/>
        <c:noMultiLvlLbl val="0"/>
      </c:catAx>
      <c:valAx>
        <c:axId val="37457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m3/cm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01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Hasábos teltség CB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'[1]jellemzők'!$F$327:$F$335</c:f>
              <c:numCache>
                <c:ptCount val="9"/>
                <c:pt idx="0">
                  <c:v>0.4549993388950601</c:v>
                </c:pt>
                <c:pt idx="1">
                  <c:v>0.41174496644295294</c:v>
                </c:pt>
                <c:pt idx="2">
                  <c:v>0.3629322691904306</c:v>
                </c:pt>
                <c:pt idx="3">
                  <c:v>0.31320880503144655</c:v>
                </c:pt>
                <c:pt idx="4">
                  <c:v>0.27249301276223187</c:v>
                </c:pt>
                <c:pt idx="5">
                  <c:v>0.25424</c:v>
                </c:pt>
                <c:pt idx="6">
                  <c:v>0.26848853516983456</c:v>
                </c:pt>
                <c:pt idx="7">
                  <c:v>0.4486947368421052</c:v>
                </c:pt>
                <c:pt idx="8">
                  <c:v>0.95</c:v>
                </c:pt>
              </c:numCache>
            </c:numRef>
          </c:val>
          <c:smooth val="0"/>
        </c:ser>
        <c:axId val="1569860"/>
        <c:axId val="14128741"/>
      </c:lineChart>
      <c:catAx>
        <c:axId val="15698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128741"/>
        <c:crosses val="autoZero"/>
        <c:auto val="1"/>
        <c:lblOffset val="100"/>
        <c:noMultiLvlLbl val="0"/>
      </c:catAx>
      <c:valAx>
        <c:axId val="141287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9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Főbordateltség CM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'[1]jellemzők'!$G$327:$G$335</c:f>
              <c:numCache>
                <c:ptCount val="9"/>
                <c:pt idx="0">
                  <c:v>0.622879614769797</c:v>
                </c:pt>
                <c:pt idx="1">
                  <c:v>0.5785234899328859</c:v>
                </c:pt>
                <c:pt idx="2">
                  <c:v>0.5264439718605297</c:v>
                </c:pt>
                <c:pt idx="3">
                  <c:v>0.4689496855345912</c:v>
                </c:pt>
                <c:pt idx="4">
                  <c:v>0.41618682021753045</c:v>
                </c:pt>
                <c:pt idx="5">
                  <c:v>0.3843254237288136</c:v>
                </c:pt>
                <c:pt idx="6">
                  <c:v>0.38037467361435756</c:v>
                </c:pt>
                <c:pt idx="7">
                  <c:v>0.5461052631578948</c:v>
                </c:pt>
                <c:pt idx="8">
                  <c:v>1</c:v>
                </c:pt>
              </c:numCache>
            </c:numRef>
          </c:val>
          <c:smooth val="0"/>
        </c:ser>
        <c:axId val="60049806"/>
        <c:axId val="3577343"/>
      </c:lineChart>
      <c:catAx>
        <c:axId val="600498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77343"/>
        <c:crosses val="autoZero"/>
        <c:auto val="1"/>
        <c:lblOffset val="100"/>
        <c:noMultiLvlLbl val="0"/>
      </c:catAx>
      <c:valAx>
        <c:axId val="3577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49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Hengeres teltség CP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'[1]jellemzők'!$H$327:$H$335</c:f>
              <c:numCache>
                <c:ptCount val="9"/>
                <c:pt idx="0">
                  <c:v>0.7304771710392515</c:v>
                </c:pt>
                <c:pt idx="1">
                  <c:v>0.7117169373549882</c:v>
                </c:pt>
                <c:pt idx="2">
                  <c:v>0.6894034096501762</c:v>
                </c:pt>
                <c:pt idx="3">
                  <c:v>0.6678942639110551</c:v>
                </c:pt>
                <c:pt idx="4">
                  <c:v>0.6547372466523725</c:v>
                </c:pt>
                <c:pt idx="5">
                  <c:v>0.6615227208580299</c:v>
                </c:pt>
                <c:pt idx="6">
                  <c:v>0.7058528177458033</c:v>
                </c:pt>
                <c:pt idx="7">
                  <c:v>0.8216268311488047</c:v>
                </c:pt>
                <c:pt idx="8">
                  <c:v>0.95</c:v>
                </c:pt>
              </c:numCache>
            </c:numRef>
          </c:val>
          <c:smooth val="0"/>
        </c:ser>
        <c:axId val="32196088"/>
        <c:axId val="21329337"/>
      </c:lineChart>
      <c:catAx>
        <c:axId val="321960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329337"/>
        <c:crosses val="autoZero"/>
        <c:auto val="1"/>
        <c:lblOffset val="100"/>
        <c:noMultiLvlLbl val="0"/>
      </c:catAx>
      <c:valAx>
        <c:axId val="213293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96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LCF a főbordától 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'[1]jellemzők'!$D$317:$D$325</c:f>
              <c:numCache>
                <c:ptCount val="9"/>
                <c:pt idx="0">
                  <c:v>-0.08051</c:v>
                </c:pt>
                <c:pt idx="1">
                  <c:v>-0.08097</c:v>
                </c:pt>
                <c:pt idx="2">
                  <c:v>-0.05872</c:v>
                </c:pt>
                <c:pt idx="3">
                  <c:v>-0.01644</c:v>
                </c:pt>
                <c:pt idx="4">
                  <c:v>0.04386</c:v>
                </c:pt>
                <c:pt idx="5">
                  <c:v>0.09861</c:v>
                </c:pt>
                <c:pt idx="6">
                  <c:v>0.14904</c:v>
                </c:pt>
                <c:pt idx="7">
                  <c:v>0.12275</c:v>
                </c:pt>
                <c:pt idx="8">
                  <c:v>-0.05789</c:v>
                </c:pt>
              </c:numCache>
            </c:numRef>
          </c:val>
          <c:smooth val="0"/>
        </c:ser>
        <c:axId val="57746306"/>
        <c:axId val="49954707"/>
      </c:lineChart>
      <c:catAx>
        <c:axId val="577463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954707"/>
        <c:crosses val="autoZero"/>
        <c:auto val="1"/>
        <c:lblOffset val="100"/>
        <c:noMultiLvlLbl val="0"/>
      </c:catAx>
      <c:valAx>
        <c:axId val="49954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46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KB az alapvonaltól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'[1]jellemzők'!$E$317:$E$325</c:f>
              <c:numCache>
                <c:ptCount val="9"/>
                <c:pt idx="0">
                  <c:v>0.19136466690476975</c:v>
                </c:pt>
                <c:pt idx="1">
                  <c:v>0.17282944851942408</c:v>
                </c:pt>
                <c:pt idx="2">
                  <c:v>0.15337754810124324</c:v>
                </c:pt>
                <c:pt idx="3">
                  <c:v>0.13282048086955472</c:v>
                </c:pt>
                <c:pt idx="4">
                  <c:v>0.11095589387961903</c:v>
                </c:pt>
                <c:pt idx="5">
                  <c:v>0.08766689924907464</c:v>
                </c:pt>
                <c:pt idx="6">
                  <c:v>0.06251034971174979</c:v>
                </c:pt>
                <c:pt idx="7">
                  <c:v>0.03638223610003284</c:v>
                </c:pt>
                <c:pt idx="8">
                  <c:v>0</c:v>
                </c:pt>
              </c:numCache>
            </c:numRef>
          </c:val>
          <c:smooth val="0"/>
        </c:ser>
        <c:axId val="46939180"/>
        <c:axId val="19799437"/>
      </c:lineChart>
      <c:catAx>
        <c:axId val="469391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799437"/>
        <c:crosses val="autoZero"/>
        <c:auto val="1"/>
        <c:lblOffset val="100"/>
        <c:noMultiLvlLbl val="0"/>
      </c:catAx>
      <c:valAx>
        <c:axId val="19799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39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LCB a főbordától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'[1]jellemzők'!$F$317:$F$325</c:f>
              <c:numCache>
                <c:ptCount val="9"/>
                <c:pt idx="0">
                  <c:v>-0.009572058237526547</c:v>
                </c:pt>
                <c:pt idx="1">
                  <c:v>0.008235805487639225</c:v>
                </c:pt>
                <c:pt idx="2">
                  <c:v>0.03195578193655697</c:v>
                </c:pt>
                <c:pt idx="3">
                  <c:v>0.05958309404379901</c:v>
                </c:pt>
                <c:pt idx="4">
                  <c:v>0.08589467050162347</c:v>
                </c:pt>
                <c:pt idx="5">
                  <c:v>0.09958560442021948</c:v>
                </c:pt>
                <c:pt idx="6">
                  <c:v>0.08146089246090304</c:v>
                </c:pt>
                <c:pt idx="7">
                  <c:v>0.009517196077511388</c:v>
                </c:pt>
                <c:pt idx="8">
                  <c:v>-0.05789</c:v>
                </c:pt>
              </c:numCache>
            </c:numRef>
          </c:val>
          <c:smooth val="0"/>
        </c:ser>
        <c:axId val="43977206"/>
        <c:axId val="60250535"/>
      </c:lineChart>
      <c:catAx>
        <c:axId val="439772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250535"/>
        <c:crosses val="autoZero"/>
        <c:auto val="1"/>
        <c:lblOffset val="100"/>
        <c:noMultiLvlLbl val="0"/>
      </c:catAx>
      <c:valAx>
        <c:axId val="60250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772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'[1]vízvonalak'!$B$113:$L$113</c:f>
              <c:strCache>
                <c:ptCount val="11"/>
                <c:pt idx="0">
                  <c:v>far, 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10, tőke</c:v>
                </c:pt>
              </c:strCache>
            </c:strRef>
          </c:cat>
          <c:val>
            <c:numRef>
              <c:f>'[1]vízvonalak'!$B$115:$L$115</c:f>
              <c:numCache>
                <c:ptCount val="11"/>
                <c:pt idx="0">
                  <c:v>0.101</c:v>
                </c:pt>
                <c:pt idx="1">
                  <c:v>0.318</c:v>
                </c:pt>
                <c:pt idx="2">
                  <c:v>0.382</c:v>
                </c:pt>
                <c:pt idx="3">
                  <c:v>0.415</c:v>
                </c:pt>
                <c:pt idx="4">
                  <c:v>0.434</c:v>
                </c:pt>
                <c:pt idx="5">
                  <c:v>0.441</c:v>
                </c:pt>
                <c:pt idx="6">
                  <c:v>0.428</c:v>
                </c:pt>
                <c:pt idx="7">
                  <c:v>0.394</c:v>
                </c:pt>
                <c:pt idx="8">
                  <c:v>0.324</c:v>
                </c:pt>
                <c:pt idx="9">
                  <c:v>0.21</c:v>
                </c:pt>
                <c:pt idx="10">
                  <c:v>0.03</c:v>
                </c:pt>
              </c:numCache>
            </c:numRef>
          </c:val>
          <c:smooth val="0"/>
        </c:ser>
        <c:axId val="31232356"/>
        <c:axId val="12655749"/>
      </c:lineChart>
      <c:catAx>
        <c:axId val="312323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655749"/>
        <c:crosses val="autoZero"/>
        <c:auto val="1"/>
        <c:lblOffset val="100"/>
        <c:noMultiLvlLbl val="0"/>
      </c:catAx>
      <c:valAx>
        <c:axId val="12655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32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Metacentrikus magasság KM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'[1]jellemzők'!$G$317:$G$325</c:f>
              <c:numCache>
                <c:ptCount val="9"/>
                <c:pt idx="0">
                  <c:v>0.536852780389389</c:v>
                </c:pt>
                <c:pt idx="1">
                  <c:v>0.5856619298115632</c:v>
                </c:pt>
                <c:pt idx="2">
                  <c:v>0.6390792342012774</c:v>
                </c:pt>
                <c:pt idx="3">
                  <c:v>0.6799157645321614</c:v>
                </c:pt>
                <c:pt idx="4">
                  <c:v>0.6496323282460521</c:v>
                </c:pt>
                <c:pt idx="5">
                  <c:v>0.48838989759769824</c:v>
                </c:pt>
                <c:pt idx="6">
                  <c:v>0.26085429838747815</c:v>
                </c:pt>
                <c:pt idx="7">
                  <c:v>0.06624023996451163</c:v>
                </c:pt>
                <c:pt idx="8">
                  <c:v>0</c:v>
                </c:pt>
              </c:numCache>
            </c:numRef>
          </c:val>
          <c:smooth val="0"/>
        </c:ser>
        <c:axId val="5383904"/>
        <c:axId val="48455137"/>
      </c:lineChart>
      <c:catAx>
        <c:axId val="53839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455137"/>
        <c:crosses val="autoZero"/>
        <c:auto val="1"/>
        <c:lblOffset val="100"/>
        <c:noMultiLvlLbl val="0"/>
      </c:catAx>
      <c:valAx>
        <c:axId val="48455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3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Hosszirányú metacentrikus magasság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'[1]jellemzők'!$H$317:$H$325</c:f>
              <c:numCache>
                <c:ptCount val="9"/>
                <c:pt idx="0">
                  <c:v>2.2499051670212213</c:v>
                </c:pt>
                <c:pt idx="1">
                  <c:v>2.6506781497493965</c:v>
                </c:pt>
                <c:pt idx="2">
                  <c:v>2.9065548706397806</c:v>
                </c:pt>
                <c:pt idx="3">
                  <c:v>3.3380422655122595</c:v>
                </c:pt>
                <c:pt idx="4">
                  <c:v>3.655645210958218</c:v>
                </c:pt>
                <c:pt idx="5">
                  <c:v>4.328497104241312</c:v>
                </c:pt>
                <c:pt idx="6">
                  <c:v>5.397925160741409</c:v>
                </c:pt>
                <c:pt idx="7">
                  <c:v>7.352176341970117</c:v>
                </c:pt>
              </c:numCache>
            </c:numRef>
          </c:val>
          <c:smooth val="0"/>
        </c:ser>
        <c:axId val="33443050"/>
        <c:axId val="32551995"/>
      </c:lineChart>
      <c:catAx>
        <c:axId val="334430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551995"/>
        <c:crosses val="autoZero"/>
        <c:auto val="1"/>
        <c:lblOffset val="100"/>
        <c:noMultiLvlLbl val="0"/>
      </c:catAx>
      <c:valAx>
        <c:axId val="32551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443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Nedvesített felület WS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'[1]jellemzők'!$I$327:$I$335</c:f>
              <c:numCache>
                <c:ptCount val="9"/>
                <c:pt idx="0">
                  <c:v>2.3795540000000006</c:v>
                </c:pt>
                <c:pt idx="1">
                  <c:v>2.20694</c:v>
                </c:pt>
                <c:pt idx="2">
                  <c:v>2.016217</c:v>
                </c:pt>
                <c:pt idx="3">
                  <c:v>1.791568</c:v>
                </c:pt>
                <c:pt idx="4">
                  <c:v>1.495658</c:v>
                </c:pt>
                <c:pt idx="5">
                  <c:v>1.1535480000000002</c:v>
                </c:pt>
                <c:pt idx="6">
                  <c:v>0.791638</c:v>
                </c:pt>
                <c:pt idx="7">
                  <c:v>0.4506321799999999</c:v>
                </c:pt>
                <c:pt idx="8">
                  <c:v>0.1254</c:v>
                </c:pt>
              </c:numCache>
            </c:numRef>
          </c:val>
          <c:smooth val="0"/>
        </c:ser>
        <c:axId val="24532500"/>
        <c:axId val="19465909"/>
      </c:lineChart>
      <c:catAx>
        <c:axId val="245325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465909"/>
        <c:crosses val="autoZero"/>
        <c:auto val="1"/>
        <c:lblOffset val="100"/>
        <c:noMultiLvlLbl val="0"/>
      </c:catAx>
      <c:valAx>
        <c:axId val="19465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32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Vízkiszorítás térfogata V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'[1]jellemzők'!$C$317:$C$325</c:f>
              <c:numCache>
                <c:ptCount val="9"/>
                <c:pt idx="0">
                  <c:v>0.25285964000000005</c:v>
                </c:pt>
                <c:pt idx="1">
                  <c:v>0.20245499999999997</c:v>
                </c:pt>
                <c:pt idx="2">
                  <c:v>0.15408635</c:v>
                </c:pt>
                <c:pt idx="3">
                  <c:v>0.10956044000000001</c:v>
                </c:pt>
                <c:pt idx="4">
                  <c:v>0.07121158</c:v>
                </c:pt>
                <c:pt idx="5">
                  <c:v>0.041250440000000006</c:v>
                </c:pt>
                <c:pt idx="6">
                  <c:v>0.020721580000000003</c:v>
                </c:pt>
                <c:pt idx="7">
                  <c:v>0.009377719999999999</c:v>
                </c:pt>
                <c:pt idx="8">
                  <c:v>0</c:v>
                </c:pt>
              </c:numCache>
            </c:numRef>
          </c:val>
          <c:smooth val="0"/>
        </c:ser>
        <c:axId val="40975454"/>
        <c:axId val="33234767"/>
      </c:lineChart>
      <c:catAx>
        <c:axId val="409754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234767"/>
        <c:crosses val="autoZero"/>
        <c:auto val="1"/>
        <c:lblOffset val="100"/>
        <c:noMultiLvlLbl val="0"/>
      </c:catAx>
      <c:valAx>
        <c:axId val="33234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75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TPC merülésnövekedés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'[1]jellemzők'!$C$327:$C$335</c:f>
              <c:numCache>
                <c:ptCount val="9"/>
                <c:pt idx="0">
                  <c:v>0.01668040180401804</c:v>
                </c:pt>
                <c:pt idx="1">
                  <c:v>0.016364698646986472</c:v>
                </c:pt>
                <c:pt idx="2">
                  <c:v>0.015318368183681836</c:v>
                </c:pt>
                <c:pt idx="3">
                  <c:v>0.01382328823288233</c:v>
                </c:pt>
                <c:pt idx="4">
                  <c:v>0.011333743337433375</c:v>
                </c:pt>
                <c:pt idx="5">
                  <c:v>0.008321033210332103</c:v>
                </c:pt>
                <c:pt idx="6">
                  <c:v>0.0051459614596145965</c:v>
                </c:pt>
                <c:pt idx="7">
                  <c:v>0.002295612956129561</c:v>
                </c:pt>
                <c:pt idx="8">
                  <c:v>0.0012853628536285363</c:v>
                </c:pt>
              </c:numCache>
            </c:numRef>
          </c:val>
          <c:smooth val="0"/>
        </c:ser>
        <c:axId val="30677448"/>
        <c:axId val="7661577"/>
      </c:lineChart>
      <c:catAx>
        <c:axId val="306774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661577"/>
        <c:crosses val="autoZero"/>
        <c:auto val="1"/>
        <c:lblOffset val="100"/>
        <c:noMultiLvlLbl val="0"/>
      </c:catAx>
      <c:valAx>
        <c:axId val="7661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tonna/cm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77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MTcm nyomaték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'[1]jellemzők'!$D$327:$D$335</c:f>
              <c:numCache>
                <c:ptCount val="9"/>
                <c:pt idx="0">
                  <c:v>0.002425158431952217</c:v>
                </c:pt>
                <c:pt idx="1">
                  <c:v>0.0023372462739895536</c:v>
                </c:pt>
                <c:pt idx="2">
                  <c:v>0.0019765123665729744</c:v>
                </c:pt>
                <c:pt idx="3">
                  <c:v>0.0016361120306755271</c:v>
                </c:pt>
                <c:pt idx="4">
                  <c:v>0.0011760613638647508</c:v>
                </c:pt>
                <c:pt idx="5">
                  <c:v>0.0008150432487238659</c:v>
                </c:pt>
                <c:pt idx="6">
                  <c:v>0.0005151008202769745</c:v>
                </c:pt>
                <c:pt idx="7">
                  <c:v>0.00031963911554573865</c:v>
                </c:pt>
                <c:pt idx="8">
                  <c:v>0.002425158431952217</c:v>
                </c:pt>
              </c:numCache>
            </c:numRef>
          </c:val>
          <c:smooth val="0"/>
        </c:ser>
        <c:axId val="1845330"/>
        <c:axId val="16607971"/>
      </c:lineChart>
      <c:catAx>
        <c:axId val="18453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607971"/>
        <c:crosses val="autoZero"/>
        <c:auto val="1"/>
        <c:lblOffset val="100"/>
        <c:noMultiLvlLbl val="0"/>
      </c:catAx>
      <c:valAx>
        <c:axId val="16607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métertonna/cm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5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dVPC vízkiszorítás változás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'[1]jellemzők'!$E$327:$E$335</c:f>
              <c:numCache>
                <c:ptCount val="9"/>
                <c:pt idx="0">
                  <c:v>-0.0006104268860188601</c:v>
                </c:pt>
                <c:pt idx="1">
                  <c:v>-0.000602295295202952</c:v>
                </c:pt>
                <c:pt idx="2">
                  <c:v>-0.0004088611726117261</c:v>
                </c:pt>
                <c:pt idx="3">
                  <c:v>-0.00010329766297662977</c:v>
                </c:pt>
                <c:pt idx="4">
                  <c:v>0.00022595362853628537</c:v>
                </c:pt>
                <c:pt idx="5">
                  <c:v>0.0003729714022140221</c:v>
                </c:pt>
                <c:pt idx="6">
                  <c:v>0.00034861549815498155</c:v>
                </c:pt>
                <c:pt idx="7">
                  <c:v>0.00012808476834768345</c:v>
                </c:pt>
                <c:pt idx="8">
                  <c:v>-3.3822570725707256E-05</c:v>
                </c:pt>
              </c:numCache>
            </c:numRef>
          </c:val>
          <c:smooth val="0"/>
        </c:ser>
        <c:axId val="15254012"/>
        <c:axId val="3068381"/>
      </c:lineChart>
      <c:catAx>
        <c:axId val="152540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68381"/>
        <c:crosses val="autoZero"/>
        <c:auto val="1"/>
        <c:lblOffset val="100"/>
        <c:noMultiLvlLbl val="0"/>
      </c:catAx>
      <c:valAx>
        <c:axId val="3068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m3/cm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254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Hasábos teltség CB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'[1]jellemzők'!$F$327:$F$335</c:f>
              <c:numCache>
                <c:ptCount val="9"/>
                <c:pt idx="0">
                  <c:v>0.4549993388950601</c:v>
                </c:pt>
                <c:pt idx="1">
                  <c:v>0.41174496644295294</c:v>
                </c:pt>
                <c:pt idx="2">
                  <c:v>0.3629322691904306</c:v>
                </c:pt>
                <c:pt idx="3">
                  <c:v>0.31320880503144655</c:v>
                </c:pt>
                <c:pt idx="4">
                  <c:v>0.27249301276223187</c:v>
                </c:pt>
                <c:pt idx="5">
                  <c:v>0.25424</c:v>
                </c:pt>
                <c:pt idx="6">
                  <c:v>0.26848853516983456</c:v>
                </c:pt>
                <c:pt idx="7">
                  <c:v>0.4486947368421052</c:v>
                </c:pt>
                <c:pt idx="8">
                  <c:v>0.95</c:v>
                </c:pt>
              </c:numCache>
            </c:numRef>
          </c:val>
          <c:smooth val="0"/>
        </c:ser>
        <c:axId val="27615430"/>
        <c:axId val="47212279"/>
      </c:lineChart>
      <c:catAx>
        <c:axId val="276154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212279"/>
        <c:crosses val="autoZero"/>
        <c:auto val="1"/>
        <c:lblOffset val="100"/>
        <c:noMultiLvlLbl val="0"/>
      </c:catAx>
      <c:valAx>
        <c:axId val="472122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15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Főbordateltség CM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'[1]jellemzők'!$G$327:$G$335</c:f>
              <c:numCache>
                <c:ptCount val="9"/>
                <c:pt idx="0">
                  <c:v>0.622879614769797</c:v>
                </c:pt>
                <c:pt idx="1">
                  <c:v>0.5785234899328859</c:v>
                </c:pt>
                <c:pt idx="2">
                  <c:v>0.5264439718605297</c:v>
                </c:pt>
                <c:pt idx="3">
                  <c:v>0.4689496855345912</c:v>
                </c:pt>
                <c:pt idx="4">
                  <c:v>0.41618682021753045</c:v>
                </c:pt>
                <c:pt idx="5">
                  <c:v>0.3843254237288136</c:v>
                </c:pt>
                <c:pt idx="6">
                  <c:v>0.38037467361435756</c:v>
                </c:pt>
                <c:pt idx="7">
                  <c:v>0.5461052631578948</c:v>
                </c:pt>
                <c:pt idx="8">
                  <c:v>1</c:v>
                </c:pt>
              </c:numCache>
            </c:numRef>
          </c:val>
          <c:smooth val="0"/>
        </c:ser>
        <c:axId val="22257328"/>
        <c:axId val="66098225"/>
      </c:lineChart>
      <c:catAx>
        <c:axId val="222573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098225"/>
        <c:crosses val="autoZero"/>
        <c:auto val="1"/>
        <c:lblOffset val="100"/>
        <c:noMultiLvlLbl val="0"/>
      </c:catAx>
      <c:valAx>
        <c:axId val="660982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57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Hengeres teltség CP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'[1]jellemzők'!$H$327:$H$335</c:f>
              <c:numCache>
                <c:ptCount val="9"/>
                <c:pt idx="0">
                  <c:v>0.7304771710392515</c:v>
                </c:pt>
                <c:pt idx="1">
                  <c:v>0.7117169373549882</c:v>
                </c:pt>
                <c:pt idx="2">
                  <c:v>0.6894034096501762</c:v>
                </c:pt>
                <c:pt idx="3">
                  <c:v>0.6678942639110551</c:v>
                </c:pt>
                <c:pt idx="4">
                  <c:v>0.6547372466523725</c:v>
                </c:pt>
                <c:pt idx="5">
                  <c:v>0.6615227208580299</c:v>
                </c:pt>
                <c:pt idx="6">
                  <c:v>0.7058528177458033</c:v>
                </c:pt>
                <c:pt idx="7">
                  <c:v>0.8216268311488047</c:v>
                </c:pt>
                <c:pt idx="8">
                  <c:v>0.95</c:v>
                </c:pt>
              </c:numCache>
            </c:numRef>
          </c:val>
          <c:smooth val="0"/>
        </c:ser>
        <c:axId val="58013114"/>
        <c:axId val="52355979"/>
      </c:lineChart>
      <c:catAx>
        <c:axId val="580131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355979"/>
        <c:crosses val="autoZero"/>
        <c:auto val="1"/>
        <c:lblOffset val="100"/>
        <c:noMultiLvlLbl val="0"/>
      </c:catAx>
      <c:valAx>
        <c:axId val="523559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13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'[1]vízvonalak'!$B$186:$L$186</c:f>
              <c:strCache>
                <c:ptCount val="11"/>
                <c:pt idx="0">
                  <c:v>far, 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10, tőke</c:v>
                </c:pt>
              </c:strCache>
            </c:strRef>
          </c:cat>
          <c:val>
            <c:numRef>
              <c:f>'[1]vízvonalak'!$B$188:$L$188</c:f>
              <c:numCache>
                <c:ptCount val="11"/>
                <c:pt idx="0">
                  <c:v>0.315</c:v>
                </c:pt>
                <c:pt idx="1">
                  <c:v>0.361</c:v>
                </c:pt>
                <c:pt idx="2">
                  <c:v>0.399</c:v>
                </c:pt>
                <c:pt idx="3">
                  <c:v>0.425</c:v>
                </c:pt>
                <c:pt idx="4">
                  <c:v>0.442</c:v>
                </c:pt>
                <c:pt idx="5">
                  <c:v>0.449</c:v>
                </c:pt>
                <c:pt idx="6">
                  <c:v>0.44</c:v>
                </c:pt>
                <c:pt idx="7">
                  <c:v>0.416</c:v>
                </c:pt>
                <c:pt idx="8">
                  <c:v>0.356</c:v>
                </c:pt>
                <c:pt idx="9">
                  <c:v>0.238</c:v>
                </c:pt>
                <c:pt idx="10">
                  <c:v>0.03</c:v>
                </c:pt>
              </c:numCache>
            </c:numRef>
          </c:val>
          <c:smooth val="0"/>
        </c:ser>
        <c:axId val="46792878"/>
        <c:axId val="18482719"/>
      </c:lineChart>
      <c:catAx>
        <c:axId val="467928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482719"/>
        <c:crosses val="autoZero"/>
        <c:auto val="1"/>
        <c:lblOffset val="100"/>
        <c:noMultiLvlLbl val="0"/>
      </c:catAx>
      <c:valAx>
        <c:axId val="18482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92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LCF a főbordától 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'[1]jellemzők'!$D$317:$D$325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1441764"/>
        <c:axId val="12975877"/>
      </c:lineChart>
      <c:catAx>
        <c:axId val="14417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975877"/>
        <c:crosses val="autoZero"/>
        <c:auto val="1"/>
        <c:lblOffset val="100"/>
        <c:noMultiLvlLbl val="0"/>
      </c:catAx>
      <c:valAx>
        <c:axId val="12975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1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KB az alapvonaltól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'[1]jellemzők'!$E$317:$E$325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49674030"/>
        <c:axId val="44413087"/>
      </c:lineChart>
      <c:catAx>
        <c:axId val="496740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413087"/>
        <c:crosses val="autoZero"/>
        <c:auto val="1"/>
        <c:lblOffset val="100"/>
        <c:noMultiLvlLbl val="0"/>
      </c:catAx>
      <c:valAx>
        <c:axId val="44413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74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LCB a főbordától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'[1]jellemzők'!$F$317:$F$325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64173464"/>
        <c:axId val="40690265"/>
      </c:lineChart>
      <c:catAx>
        <c:axId val="641734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690265"/>
        <c:crosses val="autoZero"/>
        <c:auto val="1"/>
        <c:lblOffset val="100"/>
        <c:noMultiLvlLbl val="0"/>
      </c:catAx>
      <c:valAx>
        <c:axId val="40690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73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Metacentrikus magasság KM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'[1]jellemzők'!$G$317:$G$325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30668066"/>
        <c:axId val="7577139"/>
      </c:lineChart>
      <c:catAx>
        <c:axId val="306680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577139"/>
        <c:crosses val="autoZero"/>
        <c:auto val="1"/>
        <c:lblOffset val="100"/>
        <c:noMultiLvlLbl val="0"/>
      </c:catAx>
      <c:valAx>
        <c:axId val="7577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680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Hosszirányú metacentrikus magasság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'[1]jellemzők'!$H$317:$H$325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1085388"/>
        <c:axId val="9768493"/>
      </c:lineChart>
      <c:catAx>
        <c:axId val="10853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768493"/>
        <c:crosses val="autoZero"/>
        <c:auto val="1"/>
        <c:lblOffset val="100"/>
        <c:noMultiLvlLbl val="0"/>
      </c:catAx>
      <c:valAx>
        <c:axId val="9768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5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Nedvesített felület WS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'[1]jellemzők'!$I$327:$I$335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20807574"/>
        <c:axId val="53050439"/>
      </c:lineChart>
      <c:catAx>
        <c:axId val="208075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050439"/>
        <c:crosses val="autoZero"/>
        <c:auto val="1"/>
        <c:lblOffset val="100"/>
        <c:noMultiLvlLbl val="0"/>
      </c:catAx>
      <c:valAx>
        <c:axId val="53050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07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Vízkiszorítás térfogata V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'[1]jellemzők'!$C$317:$C$325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7691904"/>
        <c:axId val="2118273"/>
      </c:lineChart>
      <c:catAx>
        <c:axId val="76919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18273"/>
        <c:crosses val="autoZero"/>
        <c:auto val="1"/>
        <c:lblOffset val="100"/>
        <c:noMultiLvlLbl val="0"/>
      </c:catAx>
      <c:valAx>
        <c:axId val="2118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91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TPC merülésnövekedés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'[1]jellemzők'!$C$327:$C$335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19064458"/>
        <c:axId val="37362395"/>
      </c:lineChart>
      <c:catAx>
        <c:axId val="190644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362395"/>
        <c:crosses val="autoZero"/>
        <c:auto val="1"/>
        <c:lblOffset val="100"/>
        <c:noMultiLvlLbl val="0"/>
      </c:catAx>
      <c:valAx>
        <c:axId val="37362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tonna/cm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64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MTcm nyomaték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'[1]jellemzők'!$D$327:$D$335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717236"/>
        <c:axId val="6455125"/>
      </c:lineChart>
      <c:catAx>
        <c:axId val="7172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55125"/>
        <c:crosses val="autoZero"/>
        <c:auto val="1"/>
        <c:lblOffset val="100"/>
        <c:noMultiLvlLbl val="0"/>
      </c:catAx>
      <c:valAx>
        <c:axId val="6455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métertonna/cm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17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dVPC vízkiszorítás változás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'[1]jellemzők'!$E$327:$E$335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58096126"/>
        <c:axId val="53103087"/>
      </c:lineChart>
      <c:catAx>
        <c:axId val="580961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103087"/>
        <c:crosses val="autoZero"/>
        <c:auto val="1"/>
        <c:lblOffset val="100"/>
        <c:noMultiLvlLbl val="0"/>
      </c:catAx>
      <c:valAx>
        <c:axId val="53103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m3/cm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96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'[1]vízvonalak'!$B$224:$L$224</c:f>
              <c:strCache>
                <c:ptCount val="11"/>
                <c:pt idx="0">
                  <c:v>far, 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10, tőke</c:v>
                </c:pt>
              </c:strCache>
            </c:strRef>
          </c:cat>
          <c:val>
            <c:numRef>
              <c:f>'[1]vízvonalak'!$B$226:$L$226</c:f>
              <c:numCache>
                <c:ptCount val="11"/>
                <c:pt idx="0">
                  <c:v>0.322</c:v>
                </c:pt>
                <c:pt idx="1">
                  <c:v>0.363</c:v>
                </c:pt>
                <c:pt idx="2">
                  <c:v>0.4</c:v>
                </c:pt>
                <c:pt idx="3">
                  <c:v>0.426</c:v>
                </c:pt>
                <c:pt idx="4">
                  <c:v>0.444</c:v>
                </c:pt>
                <c:pt idx="5">
                  <c:v>0.45</c:v>
                </c:pt>
                <c:pt idx="6">
                  <c:v>0.443</c:v>
                </c:pt>
                <c:pt idx="7">
                  <c:v>0.42</c:v>
                </c:pt>
                <c:pt idx="8">
                  <c:v>0.363</c:v>
                </c:pt>
                <c:pt idx="9">
                  <c:v>0.246</c:v>
                </c:pt>
                <c:pt idx="10">
                  <c:v>0.03</c:v>
                </c:pt>
              </c:numCache>
            </c:numRef>
          </c:val>
          <c:smooth val="0"/>
        </c:ser>
        <c:axId val="32126744"/>
        <c:axId val="20705241"/>
      </c:lineChart>
      <c:catAx>
        <c:axId val="321267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705241"/>
        <c:crosses val="autoZero"/>
        <c:auto val="1"/>
        <c:lblOffset val="100"/>
        <c:noMultiLvlLbl val="0"/>
      </c:catAx>
      <c:valAx>
        <c:axId val="20705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26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Hasábos teltség CB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'[1]jellemzők'!$F$327:$F$335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8165736"/>
        <c:axId val="6382761"/>
      </c:lineChart>
      <c:catAx>
        <c:axId val="81657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82761"/>
        <c:crosses val="autoZero"/>
        <c:auto val="1"/>
        <c:lblOffset val="100"/>
        <c:noMultiLvlLbl val="0"/>
      </c:catAx>
      <c:valAx>
        <c:axId val="63827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65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Főbordateltség CM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'[1]jellemzők'!$G$327:$G$335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57444850"/>
        <c:axId val="47241603"/>
      </c:lineChart>
      <c:catAx>
        <c:axId val="574448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241603"/>
        <c:crosses val="autoZero"/>
        <c:auto val="1"/>
        <c:lblOffset val="100"/>
        <c:noMultiLvlLbl val="0"/>
      </c:catAx>
      <c:valAx>
        <c:axId val="472416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44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Hengeres teltség CP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'[1]jellemzők'!$H$327:$H$335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22521244"/>
        <c:axId val="1364605"/>
      </c:lineChart>
      <c:catAx>
        <c:axId val="225212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64605"/>
        <c:crosses val="autoZero"/>
        <c:auto val="1"/>
        <c:lblOffset val="100"/>
        <c:noMultiLvlLbl val="0"/>
      </c:catAx>
      <c:valAx>
        <c:axId val="13646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21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LCF a főbordától 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'[1]jellemzők'!$D$317:$D$325</c:f>
              <c:numCache>
                <c:ptCount val="9"/>
                <c:pt idx="0">
                  <c:v>-0.08051</c:v>
                </c:pt>
                <c:pt idx="1">
                  <c:v>-0.08097</c:v>
                </c:pt>
                <c:pt idx="2">
                  <c:v>-0.05872</c:v>
                </c:pt>
                <c:pt idx="3">
                  <c:v>-0.01644</c:v>
                </c:pt>
                <c:pt idx="4">
                  <c:v>0.04386</c:v>
                </c:pt>
                <c:pt idx="5">
                  <c:v>0.09861</c:v>
                </c:pt>
                <c:pt idx="6">
                  <c:v>0.14904</c:v>
                </c:pt>
                <c:pt idx="7">
                  <c:v>0.12275</c:v>
                </c:pt>
                <c:pt idx="8">
                  <c:v>-0.05789</c:v>
                </c:pt>
              </c:numCache>
            </c:numRef>
          </c:val>
          <c:smooth val="0"/>
        </c:ser>
        <c:axId val="12281446"/>
        <c:axId val="43424151"/>
      </c:lineChart>
      <c:catAx>
        <c:axId val="122814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424151"/>
        <c:crosses val="autoZero"/>
        <c:auto val="1"/>
        <c:lblOffset val="100"/>
        <c:noMultiLvlLbl val="0"/>
      </c:catAx>
      <c:valAx>
        <c:axId val="43424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81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KB az alapvonaltól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'[1]jellemzők'!$E$317:$E$325</c:f>
              <c:numCache>
                <c:ptCount val="9"/>
                <c:pt idx="0">
                  <c:v>0.19136466690476975</c:v>
                </c:pt>
                <c:pt idx="1">
                  <c:v>0.17282944851942408</c:v>
                </c:pt>
                <c:pt idx="2">
                  <c:v>0.15337754810124324</c:v>
                </c:pt>
                <c:pt idx="3">
                  <c:v>0.13282048086955472</c:v>
                </c:pt>
                <c:pt idx="4">
                  <c:v>0.11095589387961903</c:v>
                </c:pt>
                <c:pt idx="5">
                  <c:v>0.08766689924907464</c:v>
                </c:pt>
                <c:pt idx="6">
                  <c:v>0.06251034971174979</c:v>
                </c:pt>
                <c:pt idx="7">
                  <c:v>0.03638223610003284</c:v>
                </c:pt>
                <c:pt idx="8">
                  <c:v>0</c:v>
                </c:pt>
              </c:numCache>
            </c:numRef>
          </c:val>
          <c:smooth val="0"/>
        </c:ser>
        <c:axId val="55273040"/>
        <c:axId val="27695313"/>
      </c:lineChart>
      <c:catAx>
        <c:axId val="552730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695313"/>
        <c:crosses val="autoZero"/>
        <c:auto val="1"/>
        <c:lblOffset val="100"/>
        <c:noMultiLvlLbl val="0"/>
      </c:catAx>
      <c:valAx>
        <c:axId val="27695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73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LCB a főbordától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'[1]jellemzők'!$F$317:$F$325</c:f>
              <c:numCache>
                <c:ptCount val="9"/>
                <c:pt idx="0">
                  <c:v>-0.009572058237526547</c:v>
                </c:pt>
                <c:pt idx="1">
                  <c:v>0.008235805487639225</c:v>
                </c:pt>
                <c:pt idx="2">
                  <c:v>0.03195578193655697</c:v>
                </c:pt>
                <c:pt idx="3">
                  <c:v>0.05958309404379901</c:v>
                </c:pt>
                <c:pt idx="4">
                  <c:v>0.08589467050162347</c:v>
                </c:pt>
                <c:pt idx="5">
                  <c:v>0.09958560442021948</c:v>
                </c:pt>
                <c:pt idx="6">
                  <c:v>0.08146089246090304</c:v>
                </c:pt>
                <c:pt idx="7">
                  <c:v>0.009517196077511388</c:v>
                </c:pt>
                <c:pt idx="8">
                  <c:v>-0.05789</c:v>
                </c:pt>
              </c:numCache>
            </c:numRef>
          </c:val>
          <c:smooth val="0"/>
        </c:ser>
        <c:axId val="47931226"/>
        <c:axId val="28727851"/>
      </c:lineChart>
      <c:catAx>
        <c:axId val="479312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727851"/>
        <c:crosses val="autoZero"/>
        <c:auto val="1"/>
        <c:lblOffset val="100"/>
        <c:noMultiLvlLbl val="0"/>
      </c:catAx>
      <c:valAx>
        <c:axId val="28727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31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Metacentrikus magasság KM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'[1]jellemzők'!$G$317:$G$325</c:f>
              <c:numCache>
                <c:ptCount val="9"/>
                <c:pt idx="0">
                  <c:v>0.536852780389389</c:v>
                </c:pt>
                <c:pt idx="1">
                  <c:v>0.5856619298115632</c:v>
                </c:pt>
                <c:pt idx="2">
                  <c:v>0.6390792342012774</c:v>
                </c:pt>
                <c:pt idx="3">
                  <c:v>0.6799157645321614</c:v>
                </c:pt>
                <c:pt idx="4">
                  <c:v>0.6496323282460521</c:v>
                </c:pt>
                <c:pt idx="5">
                  <c:v>0.48838989759769824</c:v>
                </c:pt>
                <c:pt idx="6">
                  <c:v>0.26085429838747815</c:v>
                </c:pt>
                <c:pt idx="7">
                  <c:v>0.06624023996451163</c:v>
                </c:pt>
                <c:pt idx="8">
                  <c:v>0</c:v>
                </c:pt>
              </c:numCache>
            </c:numRef>
          </c:val>
          <c:smooth val="0"/>
        </c:ser>
        <c:axId val="57224068"/>
        <c:axId val="45254565"/>
      </c:lineChart>
      <c:catAx>
        <c:axId val="572240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254565"/>
        <c:crosses val="autoZero"/>
        <c:auto val="1"/>
        <c:lblOffset val="100"/>
        <c:noMultiLvlLbl val="0"/>
      </c:catAx>
      <c:valAx>
        <c:axId val="45254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24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Hosszirányú metacentrikus magasság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'[1]jellemzők'!$H$317:$H$325</c:f>
              <c:numCache>
                <c:ptCount val="9"/>
                <c:pt idx="0">
                  <c:v>2.2499051670212213</c:v>
                </c:pt>
                <c:pt idx="1">
                  <c:v>2.6506781497493965</c:v>
                </c:pt>
                <c:pt idx="2">
                  <c:v>2.9065548706397806</c:v>
                </c:pt>
                <c:pt idx="3">
                  <c:v>3.3380422655122595</c:v>
                </c:pt>
                <c:pt idx="4">
                  <c:v>3.655645210958218</c:v>
                </c:pt>
                <c:pt idx="5">
                  <c:v>4.328497104241312</c:v>
                </c:pt>
                <c:pt idx="6">
                  <c:v>5.397925160741409</c:v>
                </c:pt>
                <c:pt idx="7">
                  <c:v>7.352176341970117</c:v>
                </c:pt>
              </c:numCache>
            </c:numRef>
          </c:val>
          <c:smooth val="0"/>
        </c:ser>
        <c:axId val="4637902"/>
        <c:axId val="41741119"/>
      </c:lineChart>
      <c:catAx>
        <c:axId val="46379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741119"/>
        <c:crosses val="autoZero"/>
        <c:auto val="1"/>
        <c:lblOffset val="100"/>
        <c:noMultiLvlLbl val="0"/>
      </c:catAx>
      <c:valAx>
        <c:axId val="41741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7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Nedvesített felület WS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'[1]jellemzők'!$I$327:$I$335</c:f>
              <c:numCache>
                <c:ptCount val="9"/>
                <c:pt idx="0">
                  <c:v>2.3795540000000006</c:v>
                </c:pt>
                <c:pt idx="1">
                  <c:v>2.20694</c:v>
                </c:pt>
                <c:pt idx="2">
                  <c:v>2.016217</c:v>
                </c:pt>
                <c:pt idx="3">
                  <c:v>1.791568</c:v>
                </c:pt>
                <c:pt idx="4">
                  <c:v>1.495658</c:v>
                </c:pt>
                <c:pt idx="5">
                  <c:v>1.1535480000000002</c:v>
                </c:pt>
                <c:pt idx="6">
                  <c:v>0.791638</c:v>
                </c:pt>
                <c:pt idx="7">
                  <c:v>0.4506321799999999</c:v>
                </c:pt>
                <c:pt idx="8">
                  <c:v>0.1254</c:v>
                </c:pt>
              </c:numCache>
            </c:numRef>
          </c:val>
          <c:smooth val="0"/>
        </c:ser>
        <c:axId val="40125752"/>
        <c:axId val="25587449"/>
      </c:lineChart>
      <c:catAx>
        <c:axId val="401257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587449"/>
        <c:crosses val="autoZero"/>
        <c:auto val="1"/>
        <c:lblOffset val="100"/>
        <c:noMultiLvlLbl val="0"/>
      </c:catAx>
      <c:valAx>
        <c:axId val="25587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25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Vízkiszorítás térfogata V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'[1]jellemzők'!$C$317:$C$325</c:f>
              <c:numCache>
                <c:ptCount val="9"/>
                <c:pt idx="0">
                  <c:v>0.25285964000000005</c:v>
                </c:pt>
                <c:pt idx="1">
                  <c:v>0.20245499999999997</c:v>
                </c:pt>
                <c:pt idx="2">
                  <c:v>0.15408635</c:v>
                </c:pt>
                <c:pt idx="3">
                  <c:v>0.10956044000000001</c:v>
                </c:pt>
                <c:pt idx="4">
                  <c:v>0.07121158</c:v>
                </c:pt>
                <c:pt idx="5">
                  <c:v>0.041250440000000006</c:v>
                </c:pt>
                <c:pt idx="6">
                  <c:v>0.020721580000000003</c:v>
                </c:pt>
                <c:pt idx="7">
                  <c:v>0.009377719999999999</c:v>
                </c:pt>
                <c:pt idx="8">
                  <c:v>0</c:v>
                </c:pt>
              </c:numCache>
            </c:numRef>
          </c:val>
          <c:smooth val="0"/>
        </c:ser>
        <c:axId val="28960450"/>
        <c:axId val="59317459"/>
      </c:lineChart>
      <c:catAx>
        <c:axId val="289604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317459"/>
        <c:crosses val="autoZero"/>
        <c:auto val="1"/>
        <c:lblOffset val="100"/>
        <c:noMultiLvlLbl val="0"/>
      </c:catAx>
      <c:valAx>
        <c:axId val="59317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60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'[1]vízvonalak'!$B$262:$L$262</c:f>
              <c:strCache>
                <c:ptCount val="11"/>
                <c:pt idx="0">
                  <c:v>far, 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10, tőke</c:v>
                </c:pt>
              </c:strCache>
            </c:strRef>
          </c:cat>
          <c:val>
            <c:numRef>
              <c:f>'[1]vízvonalak'!$B$264:$L$264</c:f>
              <c:numCache>
                <c:ptCount val="11"/>
                <c:pt idx="0">
                  <c:v>0.322</c:v>
                </c:pt>
                <c:pt idx="1">
                  <c:v>0.364</c:v>
                </c:pt>
                <c:pt idx="2">
                  <c:v>0.4</c:v>
                </c:pt>
                <c:pt idx="3">
                  <c:v>0.426</c:v>
                </c:pt>
                <c:pt idx="4">
                  <c:v>0.444</c:v>
                </c:pt>
                <c:pt idx="5">
                  <c:v>0.45</c:v>
                </c:pt>
                <c:pt idx="6">
                  <c:v>0.445</c:v>
                </c:pt>
                <c:pt idx="7">
                  <c:v>0.422</c:v>
                </c:pt>
                <c:pt idx="8">
                  <c:v>0.37</c:v>
                </c:pt>
                <c:pt idx="9">
                  <c:v>0.251</c:v>
                </c:pt>
                <c:pt idx="10">
                  <c:v>0.03</c:v>
                </c:pt>
              </c:numCache>
            </c:numRef>
          </c:val>
          <c:smooth val="0"/>
        </c:ser>
        <c:axId val="52129442"/>
        <c:axId val="66511795"/>
      </c:lineChart>
      <c:catAx>
        <c:axId val="521294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511795"/>
        <c:crosses val="autoZero"/>
        <c:auto val="1"/>
        <c:lblOffset val="100"/>
        <c:noMultiLvlLbl val="0"/>
      </c:catAx>
      <c:valAx>
        <c:axId val="66511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29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TPC merülésnövekedés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'[1]jellemzők'!$C$327:$C$335</c:f>
              <c:numCache>
                <c:ptCount val="9"/>
                <c:pt idx="0">
                  <c:v>0.01668040180401804</c:v>
                </c:pt>
                <c:pt idx="1">
                  <c:v>0.016364698646986472</c:v>
                </c:pt>
                <c:pt idx="2">
                  <c:v>0.015318368183681836</c:v>
                </c:pt>
                <c:pt idx="3">
                  <c:v>0.01382328823288233</c:v>
                </c:pt>
                <c:pt idx="4">
                  <c:v>0.011333743337433375</c:v>
                </c:pt>
                <c:pt idx="5">
                  <c:v>0.008321033210332103</c:v>
                </c:pt>
                <c:pt idx="6">
                  <c:v>0.0051459614596145965</c:v>
                </c:pt>
                <c:pt idx="7">
                  <c:v>0.002295612956129561</c:v>
                </c:pt>
                <c:pt idx="8">
                  <c:v>0.0012853628536285363</c:v>
                </c:pt>
              </c:numCache>
            </c:numRef>
          </c:val>
          <c:smooth val="0"/>
        </c:ser>
        <c:axId val="64095084"/>
        <c:axId val="39984845"/>
      </c:lineChart>
      <c:catAx>
        <c:axId val="640950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984845"/>
        <c:crosses val="autoZero"/>
        <c:auto val="1"/>
        <c:lblOffset val="100"/>
        <c:noMultiLvlLbl val="0"/>
      </c:catAx>
      <c:valAx>
        <c:axId val="39984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tonna/cm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95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MTcm nyomaték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'[1]jellemzők'!$D$327:$D$335</c:f>
              <c:numCache>
                <c:ptCount val="9"/>
                <c:pt idx="0">
                  <c:v>0.002425158431952217</c:v>
                </c:pt>
                <c:pt idx="1">
                  <c:v>0.0023372462739895536</c:v>
                </c:pt>
                <c:pt idx="2">
                  <c:v>0.0019765123665729744</c:v>
                </c:pt>
                <c:pt idx="3">
                  <c:v>0.0016361120306755271</c:v>
                </c:pt>
                <c:pt idx="4">
                  <c:v>0.0011760613638647508</c:v>
                </c:pt>
                <c:pt idx="5">
                  <c:v>0.0008150432487238659</c:v>
                </c:pt>
                <c:pt idx="6">
                  <c:v>0.0005151008202769745</c:v>
                </c:pt>
                <c:pt idx="7">
                  <c:v>0.00031963911554573865</c:v>
                </c:pt>
                <c:pt idx="8">
                  <c:v>0.002425158431952217</c:v>
                </c:pt>
              </c:numCache>
            </c:numRef>
          </c:val>
          <c:smooth val="0"/>
        </c:ser>
        <c:axId val="24319286"/>
        <c:axId val="17546983"/>
      </c:lineChart>
      <c:catAx>
        <c:axId val="243192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546983"/>
        <c:crosses val="autoZero"/>
        <c:auto val="1"/>
        <c:lblOffset val="100"/>
        <c:noMultiLvlLbl val="0"/>
      </c:catAx>
      <c:valAx>
        <c:axId val="17546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métertonna/cm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19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dVPC vízkiszorítás változás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'[1]jellemzők'!$E$327:$E$335</c:f>
              <c:numCache>
                <c:ptCount val="9"/>
                <c:pt idx="0">
                  <c:v>-0.0006104268860188601</c:v>
                </c:pt>
                <c:pt idx="1">
                  <c:v>-0.000602295295202952</c:v>
                </c:pt>
                <c:pt idx="2">
                  <c:v>-0.0004088611726117261</c:v>
                </c:pt>
                <c:pt idx="3">
                  <c:v>-0.00010329766297662977</c:v>
                </c:pt>
                <c:pt idx="4">
                  <c:v>0.00022595362853628537</c:v>
                </c:pt>
                <c:pt idx="5">
                  <c:v>0.0003729714022140221</c:v>
                </c:pt>
                <c:pt idx="6">
                  <c:v>0.00034861549815498155</c:v>
                </c:pt>
                <c:pt idx="7">
                  <c:v>0.00012808476834768345</c:v>
                </c:pt>
                <c:pt idx="8">
                  <c:v>-3.3822570725707256E-05</c:v>
                </c:pt>
              </c:numCache>
            </c:numRef>
          </c:val>
          <c:smooth val="0"/>
        </c:ser>
        <c:axId val="23705120"/>
        <c:axId val="12019489"/>
      </c:lineChart>
      <c:catAx>
        <c:axId val="237051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019489"/>
        <c:crosses val="autoZero"/>
        <c:auto val="1"/>
        <c:lblOffset val="100"/>
        <c:noMultiLvlLbl val="0"/>
      </c:catAx>
      <c:valAx>
        <c:axId val="12019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m3/cm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705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Hasábos teltség CB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'[1]jellemzők'!$F$327:$F$335</c:f>
              <c:numCache>
                <c:ptCount val="9"/>
                <c:pt idx="0">
                  <c:v>0.4549993388950601</c:v>
                </c:pt>
                <c:pt idx="1">
                  <c:v>0.41174496644295294</c:v>
                </c:pt>
                <c:pt idx="2">
                  <c:v>0.3629322691904306</c:v>
                </c:pt>
                <c:pt idx="3">
                  <c:v>0.31320880503144655</c:v>
                </c:pt>
                <c:pt idx="4">
                  <c:v>0.27249301276223187</c:v>
                </c:pt>
                <c:pt idx="5">
                  <c:v>0.25424</c:v>
                </c:pt>
                <c:pt idx="6">
                  <c:v>0.26848853516983456</c:v>
                </c:pt>
                <c:pt idx="7">
                  <c:v>0.4486947368421052</c:v>
                </c:pt>
                <c:pt idx="8">
                  <c:v>0.95</c:v>
                </c:pt>
              </c:numCache>
            </c:numRef>
          </c:val>
          <c:smooth val="0"/>
        </c:ser>
        <c:axId val="41066538"/>
        <c:axId val="34054523"/>
      </c:lineChart>
      <c:catAx>
        <c:axId val="410665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054523"/>
        <c:crosses val="autoZero"/>
        <c:auto val="1"/>
        <c:lblOffset val="100"/>
        <c:noMultiLvlLbl val="0"/>
      </c:catAx>
      <c:valAx>
        <c:axId val="340545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66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Főbordateltség CM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'[1]jellemzők'!$G$327:$G$335</c:f>
              <c:numCache>
                <c:ptCount val="9"/>
                <c:pt idx="0">
                  <c:v>0.622879614769797</c:v>
                </c:pt>
                <c:pt idx="1">
                  <c:v>0.5785234899328859</c:v>
                </c:pt>
                <c:pt idx="2">
                  <c:v>0.5264439718605297</c:v>
                </c:pt>
                <c:pt idx="3">
                  <c:v>0.4689496855345912</c:v>
                </c:pt>
                <c:pt idx="4">
                  <c:v>0.41618682021753045</c:v>
                </c:pt>
                <c:pt idx="5">
                  <c:v>0.3843254237288136</c:v>
                </c:pt>
                <c:pt idx="6">
                  <c:v>0.38037467361435756</c:v>
                </c:pt>
                <c:pt idx="7">
                  <c:v>0.5461052631578948</c:v>
                </c:pt>
                <c:pt idx="8">
                  <c:v>1</c:v>
                </c:pt>
              </c:numCache>
            </c:numRef>
          </c:val>
          <c:smooth val="0"/>
        </c:ser>
        <c:axId val="38055252"/>
        <c:axId val="6952949"/>
      </c:lineChart>
      <c:catAx>
        <c:axId val="380552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952949"/>
        <c:crosses val="autoZero"/>
        <c:auto val="1"/>
        <c:lblOffset val="100"/>
        <c:noMultiLvlLbl val="0"/>
      </c:catAx>
      <c:valAx>
        <c:axId val="69529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55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Hengeres teltség CP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'[1]jellemzők'!$B$327:$B$335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'[1]jellemzők'!$H$327:$H$335</c:f>
              <c:numCache>
                <c:ptCount val="9"/>
                <c:pt idx="0">
                  <c:v>0.7304771710392515</c:v>
                </c:pt>
                <c:pt idx="1">
                  <c:v>0.7117169373549882</c:v>
                </c:pt>
                <c:pt idx="2">
                  <c:v>0.6894034096501762</c:v>
                </c:pt>
                <c:pt idx="3">
                  <c:v>0.6678942639110551</c:v>
                </c:pt>
                <c:pt idx="4">
                  <c:v>0.6547372466523725</c:v>
                </c:pt>
                <c:pt idx="5">
                  <c:v>0.6615227208580299</c:v>
                </c:pt>
                <c:pt idx="6">
                  <c:v>0.7058528177458033</c:v>
                </c:pt>
                <c:pt idx="7">
                  <c:v>0.8216268311488047</c:v>
                </c:pt>
                <c:pt idx="8">
                  <c:v>0.95</c:v>
                </c:pt>
              </c:numCache>
            </c:numRef>
          </c:val>
          <c:smooth val="0"/>
        </c:ser>
        <c:axId val="62576542"/>
        <c:axId val="26317967"/>
      </c:lineChart>
      <c:catAx>
        <c:axId val="625765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317967"/>
        <c:crosses val="autoZero"/>
        <c:auto val="1"/>
        <c:lblOffset val="100"/>
        <c:noMultiLvlLbl val="0"/>
      </c:catAx>
      <c:valAx>
        <c:axId val="263179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76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LCF a főbordától 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'[1]jellemzők'!$D$317:$D$325</c:f>
              <c:numCache>
                <c:ptCount val="9"/>
                <c:pt idx="0">
                  <c:v>-0.08051</c:v>
                </c:pt>
                <c:pt idx="1">
                  <c:v>-0.08097</c:v>
                </c:pt>
                <c:pt idx="2">
                  <c:v>-0.05872</c:v>
                </c:pt>
                <c:pt idx="3">
                  <c:v>-0.01644</c:v>
                </c:pt>
                <c:pt idx="4">
                  <c:v>0.04386</c:v>
                </c:pt>
                <c:pt idx="5">
                  <c:v>0.09861</c:v>
                </c:pt>
                <c:pt idx="6">
                  <c:v>0.14904</c:v>
                </c:pt>
                <c:pt idx="7">
                  <c:v>0.12275</c:v>
                </c:pt>
                <c:pt idx="8">
                  <c:v>-0.05789</c:v>
                </c:pt>
              </c:numCache>
            </c:numRef>
          </c:val>
          <c:smooth val="0"/>
        </c:ser>
        <c:axId val="35535112"/>
        <c:axId val="51380553"/>
      </c:lineChart>
      <c:catAx>
        <c:axId val="355351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380553"/>
        <c:crosses val="autoZero"/>
        <c:auto val="1"/>
        <c:lblOffset val="100"/>
        <c:noMultiLvlLbl val="0"/>
      </c:catAx>
      <c:valAx>
        <c:axId val="51380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535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KB az alapvonaltól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'[1]jellemzők'!$E$317:$E$325</c:f>
              <c:numCache>
                <c:ptCount val="9"/>
                <c:pt idx="0">
                  <c:v>0.19136466690476975</c:v>
                </c:pt>
                <c:pt idx="1">
                  <c:v>0.17282944851942408</c:v>
                </c:pt>
                <c:pt idx="2">
                  <c:v>0.15337754810124324</c:v>
                </c:pt>
                <c:pt idx="3">
                  <c:v>0.13282048086955472</c:v>
                </c:pt>
                <c:pt idx="4">
                  <c:v>0.11095589387961903</c:v>
                </c:pt>
                <c:pt idx="5">
                  <c:v>0.08766689924907464</c:v>
                </c:pt>
                <c:pt idx="6">
                  <c:v>0.06251034971174979</c:v>
                </c:pt>
                <c:pt idx="7">
                  <c:v>0.03638223610003284</c:v>
                </c:pt>
                <c:pt idx="8">
                  <c:v>0</c:v>
                </c:pt>
              </c:numCache>
            </c:numRef>
          </c:val>
          <c:smooth val="0"/>
        </c:ser>
        <c:axId val="59771794"/>
        <c:axId val="1075235"/>
      </c:lineChart>
      <c:catAx>
        <c:axId val="597717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75235"/>
        <c:crosses val="autoZero"/>
        <c:auto val="1"/>
        <c:lblOffset val="100"/>
        <c:noMultiLvlLbl val="0"/>
      </c:catAx>
      <c:valAx>
        <c:axId val="1075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71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LCB a főbordától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'[1]jellemzők'!$F$317:$F$325</c:f>
              <c:numCache>
                <c:ptCount val="9"/>
                <c:pt idx="0">
                  <c:v>-0.009572058237526547</c:v>
                </c:pt>
                <c:pt idx="1">
                  <c:v>0.008235805487639225</c:v>
                </c:pt>
                <c:pt idx="2">
                  <c:v>0.03195578193655697</c:v>
                </c:pt>
                <c:pt idx="3">
                  <c:v>0.05958309404379901</c:v>
                </c:pt>
                <c:pt idx="4">
                  <c:v>0.08589467050162347</c:v>
                </c:pt>
                <c:pt idx="5">
                  <c:v>0.09958560442021948</c:v>
                </c:pt>
                <c:pt idx="6">
                  <c:v>0.08146089246090304</c:v>
                </c:pt>
                <c:pt idx="7">
                  <c:v>0.009517196077511388</c:v>
                </c:pt>
                <c:pt idx="8">
                  <c:v>-0.05789</c:v>
                </c:pt>
              </c:numCache>
            </c:numRef>
          </c:val>
          <c:smooth val="0"/>
        </c:ser>
        <c:axId val="9677116"/>
        <c:axId val="19985181"/>
      </c:lineChart>
      <c:catAx>
        <c:axId val="96771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985181"/>
        <c:crosses val="autoZero"/>
        <c:auto val="1"/>
        <c:lblOffset val="100"/>
        <c:noMultiLvlLbl val="0"/>
      </c:catAx>
      <c:valAx>
        <c:axId val="19985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77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Metacentrikus magasság KM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'[1]jellemzők'!$B$317:$B$325</c:f>
              <c:numCache>
                <c:ptCount val="9"/>
                <c:pt idx="0">
                  <c:v>0.2813</c:v>
                </c:pt>
                <c:pt idx="1">
                  <c:v>0.25</c:v>
                </c:pt>
                <c:pt idx="2">
                  <c:v>0.2188</c:v>
                </c:pt>
                <c:pt idx="3">
                  <c:v>0.1875</c:v>
                </c:pt>
                <c:pt idx="4">
                  <c:v>0.1563</c:v>
                </c:pt>
                <c:pt idx="5">
                  <c:v>0.125</c:v>
                </c:pt>
                <c:pt idx="6">
                  <c:v>0.0938</c:v>
                </c:pt>
                <c:pt idx="7">
                  <c:v>0.0625</c:v>
                </c:pt>
                <c:pt idx="8">
                  <c:v>0</c:v>
                </c:pt>
              </c:numCache>
            </c:numRef>
          </c:cat>
          <c:val>
            <c:numRef>
              <c:f>'[1]jellemzők'!$G$317:$G$325</c:f>
              <c:numCache>
                <c:ptCount val="9"/>
                <c:pt idx="0">
                  <c:v>0.536852780389389</c:v>
                </c:pt>
                <c:pt idx="1">
                  <c:v>0.5856619298115632</c:v>
                </c:pt>
                <c:pt idx="2">
                  <c:v>0.6390792342012774</c:v>
                </c:pt>
                <c:pt idx="3">
                  <c:v>0.6799157645321614</c:v>
                </c:pt>
                <c:pt idx="4">
                  <c:v>0.6496323282460521</c:v>
                </c:pt>
                <c:pt idx="5">
                  <c:v>0.48838989759769824</c:v>
                </c:pt>
                <c:pt idx="6">
                  <c:v>0.26085429838747815</c:v>
                </c:pt>
                <c:pt idx="7">
                  <c:v>0.06624023996451163</c:v>
                </c:pt>
                <c:pt idx="8">
                  <c:v>0</c:v>
                </c:pt>
              </c:numCache>
            </c:numRef>
          </c:val>
          <c:smooth val="0"/>
        </c:ser>
        <c:axId val="45648902"/>
        <c:axId val="8186935"/>
      </c:lineChart>
      <c:catAx>
        <c:axId val="456489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186935"/>
        <c:crosses val="autoZero"/>
        <c:auto val="1"/>
        <c:lblOffset val="100"/>
        <c:noMultiLvlLbl val="0"/>
      </c:catAx>
      <c:valAx>
        <c:axId val="8186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48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14.png" /><Relationship Id="rId8" Type="http://schemas.openxmlformats.org/officeDocument/2006/relationships/image" Target="../media/image12.png" /><Relationship Id="rId9" Type="http://schemas.openxmlformats.org/officeDocument/2006/relationships/image" Target="../media/image13.png" /><Relationship Id="rId10" Type="http://schemas.openxmlformats.org/officeDocument/2006/relationships/image" Target="../media/image1.png" /><Relationship Id="rId11" Type="http://schemas.openxmlformats.org/officeDocument/2006/relationships/image" Target="../media/image15.png" /><Relationship Id="rId12" Type="http://schemas.openxmlformats.org/officeDocument/2006/relationships/image" Target="../media/image4.png" /><Relationship Id="rId13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Relationship Id="rId7" Type="http://schemas.openxmlformats.org/officeDocument/2006/relationships/chart" Target="/xl/charts/chart24.xml" /><Relationship Id="rId8" Type="http://schemas.openxmlformats.org/officeDocument/2006/relationships/chart" Target="/xl/charts/chart25.xml" /><Relationship Id="rId9" Type="http://schemas.openxmlformats.org/officeDocument/2006/relationships/chart" Target="/xl/charts/chart26.xml" /><Relationship Id="rId10" Type="http://schemas.openxmlformats.org/officeDocument/2006/relationships/chart" Target="/xl/charts/chart27.xml" /><Relationship Id="rId11" Type="http://schemas.openxmlformats.org/officeDocument/2006/relationships/chart" Target="/xl/charts/chart28.xml" /><Relationship Id="rId12" Type="http://schemas.openxmlformats.org/officeDocument/2006/relationships/chart" Target="/xl/charts/chart29.xml" /><Relationship Id="rId13" Type="http://schemas.openxmlformats.org/officeDocument/2006/relationships/chart" Target="/xl/charts/chart3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Relationship Id="rId8" Type="http://schemas.openxmlformats.org/officeDocument/2006/relationships/chart" Target="/xl/charts/chart51.xml" /><Relationship Id="rId9" Type="http://schemas.openxmlformats.org/officeDocument/2006/relationships/chart" Target="/xl/charts/chart52.xml" /><Relationship Id="rId10" Type="http://schemas.openxmlformats.org/officeDocument/2006/relationships/chart" Target="/xl/charts/chart53.xml" /><Relationship Id="rId11" Type="http://schemas.openxmlformats.org/officeDocument/2006/relationships/chart" Target="/xl/charts/chart54.xml" /><Relationship Id="rId12" Type="http://schemas.openxmlformats.org/officeDocument/2006/relationships/chart" Target="/xl/charts/chart55.xml" /><Relationship Id="rId13" Type="http://schemas.openxmlformats.org/officeDocument/2006/relationships/chart" Target="/xl/charts/chart56.xml" /><Relationship Id="rId14" Type="http://schemas.openxmlformats.org/officeDocument/2006/relationships/chart" Target="/xl/charts/chart57.xml" /><Relationship Id="rId15" Type="http://schemas.openxmlformats.org/officeDocument/2006/relationships/chart" Target="/xl/charts/chart58.xml" /><Relationship Id="rId16" Type="http://schemas.openxmlformats.org/officeDocument/2006/relationships/chart" Target="/xl/charts/chart59.xml" /><Relationship Id="rId17" Type="http://schemas.openxmlformats.org/officeDocument/2006/relationships/chart" Target="/xl/charts/chart60.xml" /><Relationship Id="rId18" Type="http://schemas.openxmlformats.org/officeDocument/2006/relationships/chart" Target="/xl/charts/chart61.xml" /><Relationship Id="rId19" Type="http://schemas.openxmlformats.org/officeDocument/2006/relationships/chart" Target="/xl/charts/chart62.xml" /><Relationship Id="rId20" Type="http://schemas.openxmlformats.org/officeDocument/2006/relationships/chart" Target="/xl/charts/chart63.xml" /><Relationship Id="rId21" Type="http://schemas.openxmlformats.org/officeDocument/2006/relationships/chart" Target="/xl/charts/chart64.xml" /><Relationship Id="rId22" Type="http://schemas.openxmlformats.org/officeDocument/2006/relationships/chart" Target="/xl/charts/chart65.xml" /><Relationship Id="rId23" Type="http://schemas.openxmlformats.org/officeDocument/2006/relationships/chart" Target="/xl/charts/chart66.xml" /><Relationship Id="rId24" Type="http://schemas.openxmlformats.org/officeDocument/2006/relationships/chart" Target="/xl/charts/chart67.xml" /><Relationship Id="rId25" Type="http://schemas.openxmlformats.org/officeDocument/2006/relationships/chart" Target="/xl/charts/chart68.xml" /><Relationship Id="rId26" Type="http://schemas.openxmlformats.org/officeDocument/2006/relationships/chart" Target="/xl/charts/chart69.xml" /><Relationship Id="rId27" Type="http://schemas.openxmlformats.org/officeDocument/2006/relationships/chart" Target="/xl/charts/chart70.xml" /><Relationship Id="rId28" Type="http://schemas.openxmlformats.org/officeDocument/2006/relationships/chart" Target="/xl/charts/chart71.xml" /><Relationship Id="rId29" Type="http://schemas.openxmlformats.org/officeDocument/2006/relationships/chart" Target="/xl/charts/chart72.xml" /><Relationship Id="rId30" Type="http://schemas.openxmlformats.org/officeDocument/2006/relationships/chart" Target="/xl/charts/chart73.xml" /><Relationship Id="rId31" Type="http://schemas.openxmlformats.org/officeDocument/2006/relationships/chart" Target="/xl/charts/chart74.xml" /><Relationship Id="rId32" Type="http://schemas.openxmlformats.org/officeDocument/2006/relationships/chart" Target="/xl/charts/chart75.xml" /><Relationship Id="rId33" Type="http://schemas.openxmlformats.org/officeDocument/2006/relationships/chart" Target="/xl/charts/chart76.xml" /><Relationship Id="rId34" Type="http://schemas.openxmlformats.org/officeDocument/2006/relationships/chart" Target="/xl/charts/chart77.xml" /><Relationship Id="rId35" Type="http://schemas.openxmlformats.org/officeDocument/2006/relationships/chart" Target="/xl/charts/chart78.xml" /><Relationship Id="rId36" Type="http://schemas.openxmlformats.org/officeDocument/2006/relationships/chart" Target="/xl/charts/chart79.xml" /><Relationship Id="rId37" Type="http://schemas.openxmlformats.org/officeDocument/2006/relationships/chart" Target="/xl/charts/chart80.xml" /><Relationship Id="rId38" Type="http://schemas.openxmlformats.org/officeDocument/2006/relationships/chart" Target="/xl/charts/chart81.xml" /><Relationship Id="rId39" Type="http://schemas.openxmlformats.org/officeDocument/2006/relationships/chart" Target="/xl/charts/chart8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3.xml" /><Relationship Id="rId2" Type="http://schemas.openxmlformats.org/officeDocument/2006/relationships/chart" Target="/xl/charts/chart84.xml" /><Relationship Id="rId3" Type="http://schemas.openxmlformats.org/officeDocument/2006/relationships/chart" Target="/xl/charts/chart85.xml" /><Relationship Id="rId4" Type="http://schemas.openxmlformats.org/officeDocument/2006/relationships/chart" Target="/xl/charts/chart86.xml" /><Relationship Id="rId5" Type="http://schemas.openxmlformats.org/officeDocument/2006/relationships/chart" Target="/xl/charts/chart87.xml" /><Relationship Id="rId6" Type="http://schemas.openxmlformats.org/officeDocument/2006/relationships/chart" Target="/xl/charts/chart88.xml" /><Relationship Id="rId7" Type="http://schemas.openxmlformats.org/officeDocument/2006/relationships/chart" Target="/xl/charts/chart89.xml" /><Relationship Id="rId8" Type="http://schemas.openxmlformats.org/officeDocument/2006/relationships/chart" Target="/xl/charts/chart90.xml" /><Relationship Id="rId9" Type="http://schemas.openxmlformats.org/officeDocument/2006/relationships/chart" Target="/xl/charts/chart91.xml" /><Relationship Id="rId10" Type="http://schemas.openxmlformats.org/officeDocument/2006/relationships/chart" Target="/xl/charts/chart92.xml" /><Relationship Id="rId11" Type="http://schemas.openxmlformats.org/officeDocument/2006/relationships/chart" Target="/xl/charts/chart93.xml" /><Relationship Id="rId12" Type="http://schemas.openxmlformats.org/officeDocument/2006/relationships/chart" Target="/xl/charts/chart94.xml" /><Relationship Id="rId13" Type="http://schemas.openxmlformats.org/officeDocument/2006/relationships/chart" Target="/xl/charts/chart95.xml" /><Relationship Id="rId14" Type="http://schemas.openxmlformats.org/officeDocument/2006/relationships/chart" Target="/xl/charts/chart96.xml" /><Relationship Id="rId15" Type="http://schemas.openxmlformats.org/officeDocument/2006/relationships/chart" Target="/xl/charts/chart97.xml" /><Relationship Id="rId16" Type="http://schemas.openxmlformats.org/officeDocument/2006/relationships/chart" Target="/xl/charts/chart98.xml" /><Relationship Id="rId17" Type="http://schemas.openxmlformats.org/officeDocument/2006/relationships/chart" Target="/xl/charts/chart99.xml" /><Relationship Id="rId18" Type="http://schemas.openxmlformats.org/officeDocument/2006/relationships/chart" Target="/xl/charts/chart100.xml" /><Relationship Id="rId19" Type="http://schemas.openxmlformats.org/officeDocument/2006/relationships/chart" Target="/xl/charts/chart101.xml" /><Relationship Id="rId20" Type="http://schemas.openxmlformats.org/officeDocument/2006/relationships/chart" Target="/xl/charts/chart102.xml" /><Relationship Id="rId21" Type="http://schemas.openxmlformats.org/officeDocument/2006/relationships/chart" Target="/xl/charts/chart103.xml" /><Relationship Id="rId22" Type="http://schemas.openxmlformats.org/officeDocument/2006/relationships/chart" Target="/xl/charts/chart104.xml" /><Relationship Id="rId23" Type="http://schemas.openxmlformats.org/officeDocument/2006/relationships/chart" Target="/xl/charts/chart105.xml" /><Relationship Id="rId24" Type="http://schemas.openxmlformats.org/officeDocument/2006/relationships/chart" Target="/xl/charts/chart106.xml" /><Relationship Id="rId25" Type="http://schemas.openxmlformats.org/officeDocument/2006/relationships/chart" Target="/xl/charts/chart107.xml" /><Relationship Id="rId26" Type="http://schemas.openxmlformats.org/officeDocument/2006/relationships/chart" Target="/xl/charts/chart108.xml" /><Relationship Id="rId27" Type="http://schemas.openxmlformats.org/officeDocument/2006/relationships/chart" Target="/xl/charts/chart109.xml" /><Relationship Id="rId28" Type="http://schemas.openxmlformats.org/officeDocument/2006/relationships/chart" Target="/xl/charts/chart110.xml" /><Relationship Id="rId29" Type="http://schemas.openxmlformats.org/officeDocument/2006/relationships/chart" Target="/xl/charts/chart111.xml" /><Relationship Id="rId30" Type="http://schemas.openxmlformats.org/officeDocument/2006/relationships/chart" Target="/xl/charts/chart112.xml" /><Relationship Id="rId31" Type="http://schemas.openxmlformats.org/officeDocument/2006/relationships/chart" Target="/xl/charts/chart113.xml" /><Relationship Id="rId32" Type="http://schemas.openxmlformats.org/officeDocument/2006/relationships/chart" Target="/xl/charts/chart114.xml" /><Relationship Id="rId33" Type="http://schemas.openxmlformats.org/officeDocument/2006/relationships/chart" Target="/xl/charts/chart115.xml" /><Relationship Id="rId34" Type="http://schemas.openxmlformats.org/officeDocument/2006/relationships/chart" Target="/xl/charts/chart116.xml" /><Relationship Id="rId35" Type="http://schemas.openxmlformats.org/officeDocument/2006/relationships/chart" Target="/xl/charts/chart117.xml" /><Relationship Id="rId36" Type="http://schemas.openxmlformats.org/officeDocument/2006/relationships/chart" Target="/xl/charts/chart118.xml" /><Relationship Id="rId37" Type="http://schemas.openxmlformats.org/officeDocument/2006/relationships/chart" Target="/xl/charts/chart119.xml" /><Relationship Id="rId38" Type="http://schemas.openxmlformats.org/officeDocument/2006/relationships/chart" Target="/xl/charts/chart120.xml" /><Relationship Id="rId39" Type="http://schemas.openxmlformats.org/officeDocument/2006/relationships/chart" Target="/xl/charts/chart121.xml" /><Relationship Id="rId40" Type="http://schemas.openxmlformats.org/officeDocument/2006/relationships/chart" Target="/xl/charts/chart122.xml" /><Relationship Id="rId41" Type="http://schemas.openxmlformats.org/officeDocument/2006/relationships/chart" Target="/xl/charts/chart123.xml" /><Relationship Id="rId42" Type="http://schemas.openxmlformats.org/officeDocument/2006/relationships/chart" Target="/xl/charts/chart124.xml" /><Relationship Id="rId43" Type="http://schemas.openxmlformats.org/officeDocument/2006/relationships/chart" Target="/xl/charts/chart125.xml" /><Relationship Id="rId44" Type="http://schemas.openxmlformats.org/officeDocument/2006/relationships/chart" Target="/xl/charts/chart126.xml" /><Relationship Id="rId45" Type="http://schemas.openxmlformats.org/officeDocument/2006/relationships/chart" Target="/xl/charts/chart127.xml" /><Relationship Id="rId46" Type="http://schemas.openxmlformats.org/officeDocument/2006/relationships/chart" Target="/xl/charts/chart128.xml" /><Relationship Id="rId47" Type="http://schemas.openxmlformats.org/officeDocument/2006/relationships/chart" Target="/xl/charts/chart129.xml" /><Relationship Id="rId48" Type="http://schemas.openxmlformats.org/officeDocument/2006/relationships/chart" Target="/xl/charts/chart130.xml" /><Relationship Id="rId49" Type="http://schemas.openxmlformats.org/officeDocument/2006/relationships/chart" Target="/xl/charts/chart131.xml" /><Relationship Id="rId50" Type="http://schemas.openxmlformats.org/officeDocument/2006/relationships/chart" Target="/xl/charts/chart132.xml" /><Relationship Id="rId51" Type="http://schemas.openxmlformats.org/officeDocument/2006/relationships/chart" Target="/xl/charts/chart133.xml" /><Relationship Id="rId52" Type="http://schemas.openxmlformats.org/officeDocument/2006/relationships/chart" Target="/xl/charts/chart134.xml" /><Relationship Id="rId53" Type="http://schemas.openxmlformats.org/officeDocument/2006/relationships/chart" Target="/xl/charts/chart135.xml" /><Relationship Id="rId54" Type="http://schemas.openxmlformats.org/officeDocument/2006/relationships/chart" Target="/xl/charts/chart136.xml" /><Relationship Id="rId55" Type="http://schemas.openxmlformats.org/officeDocument/2006/relationships/chart" Target="/xl/charts/chart137.xml" /><Relationship Id="rId56" Type="http://schemas.openxmlformats.org/officeDocument/2006/relationships/chart" Target="/xl/charts/chart138.xml" /><Relationship Id="rId57" Type="http://schemas.openxmlformats.org/officeDocument/2006/relationships/chart" Target="/xl/charts/chart139.xml" /><Relationship Id="rId58" Type="http://schemas.openxmlformats.org/officeDocument/2006/relationships/chart" Target="/xl/charts/chart140.xml" /><Relationship Id="rId59" Type="http://schemas.openxmlformats.org/officeDocument/2006/relationships/chart" Target="/xl/charts/chart141.xml" /><Relationship Id="rId60" Type="http://schemas.openxmlformats.org/officeDocument/2006/relationships/chart" Target="/xl/charts/chart142.xml" /><Relationship Id="rId61" Type="http://schemas.openxmlformats.org/officeDocument/2006/relationships/chart" Target="/xl/charts/chart143.xml" /><Relationship Id="rId62" Type="http://schemas.openxmlformats.org/officeDocument/2006/relationships/chart" Target="/xl/charts/chart144.xml" /><Relationship Id="rId63" Type="http://schemas.openxmlformats.org/officeDocument/2006/relationships/chart" Target="/xl/charts/chart145.xml" /><Relationship Id="rId64" Type="http://schemas.openxmlformats.org/officeDocument/2006/relationships/chart" Target="/xl/charts/chart146.xml" /><Relationship Id="rId65" Type="http://schemas.openxmlformats.org/officeDocument/2006/relationships/chart" Target="/xl/charts/chart147.xml" /><Relationship Id="rId66" Type="http://schemas.openxmlformats.org/officeDocument/2006/relationships/chart" Target="/xl/charts/chart148.xml" /><Relationship Id="rId67" Type="http://schemas.openxmlformats.org/officeDocument/2006/relationships/chart" Target="/xl/charts/chart149.xml" /><Relationship Id="rId68" Type="http://schemas.openxmlformats.org/officeDocument/2006/relationships/chart" Target="/xl/charts/chart150.xml" /><Relationship Id="rId69" Type="http://schemas.openxmlformats.org/officeDocument/2006/relationships/chart" Target="/xl/charts/chart151.xml" /><Relationship Id="rId70" Type="http://schemas.openxmlformats.org/officeDocument/2006/relationships/chart" Target="/xl/charts/chart152.xml" /><Relationship Id="rId71" Type="http://schemas.openxmlformats.org/officeDocument/2006/relationships/chart" Target="/xl/charts/chart153.xml" /><Relationship Id="rId72" Type="http://schemas.openxmlformats.org/officeDocument/2006/relationships/chart" Target="/xl/charts/chart154.xml" /><Relationship Id="rId73" Type="http://schemas.openxmlformats.org/officeDocument/2006/relationships/chart" Target="/xl/charts/chart155.xml" /><Relationship Id="rId74" Type="http://schemas.openxmlformats.org/officeDocument/2006/relationships/chart" Target="/xl/charts/chart156.xml" /><Relationship Id="rId75" Type="http://schemas.openxmlformats.org/officeDocument/2006/relationships/chart" Target="/xl/charts/chart157.xml" /><Relationship Id="rId76" Type="http://schemas.openxmlformats.org/officeDocument/2006/relationships/chart" Target="/xl/charts/chart158.xml" /><Relationship Id="rId77" Type="http://schemas.openxmlformats.org/officeDocument/2006/relationships/chart" Target="/xl/charts/chart159.xml" /><Relationship Id="rId78" Type="http://schemas.openxmlformats.org/officeDocument/2006/relationships/chart" Target="/xl/charts/chart16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504825</xdr:rowOff>
    </xdr:from>
    <xdr:to>
      <xdr:col>0</xdr:col>
      <xdr:colOff>3362325</xdr:colOff>
      <xdr:row>1</xdr:row>
      <xdr:rowOff>1905000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85825"/>
          <a:ext cx="32385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5</xdr:row>
      <xdr:rowOff>104775</xdr:rowOff>
    </xdr:from>
    <xdr:to>
      <xdr:col>0</xdr:col>
      <xdr:colOff>3676650</xdr:colOff>
      <xdr:row>5</xdr:row>
      <xdr:rowOff>2486025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038475"/>
          <a:ext cx="34194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7</xdr:row>
      <xdr:rowOff>133350</xdr:rowOff>
    </xdr:from>
    <xdr:to>
      <xdr:col>0</xdr:col>
      <xdr:colOff>3390900</xdr:colOff>
      <xdr:row>7</xdr:row>
      <xdr:rowOff>1590675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800725"/>
          <a:ext cx="3019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8</xdr:row>
      <xdr:rowOff>95250</xdr:rowOff>
    </xdr:from>
    <xdr:to>
      <xdr:col>0</xdr:col>
      <xdr:colOff>3762375</xdr:colOff>
      <xdr:row>8</xdr:row>
      <xdr:rowOff>666750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7534275"/>
          <a:ext cx="3457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11</xdr:row>
      <xdr:rowOff>142875</xdr:rowOff>
    </xdr:from>
    <xdr:to>
      <xdr:col>0</xdr:col>
      <xdr:colOff>4076700</xdr:colOff>
      <xdr:row>11</xdr:row>
      <xdr:rowOff>2238375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8753475"/>
          <a:ext cx="37814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13</xdr:row>
      <xdr:rowOff>104775</xdr:rowOff>
    </xdr:from>
    <xdr:to>
      <xdr:col>0</xdr:col>
      <xdr:colOff>3733800</xdr:colOff>
      <xdr:row>13</xdr:row>
      <xdr:rowOff>1828800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11449050"/>
          <a:ext cx="34194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14</xdr:row>
      <xdr:rowOff>133350</xdr:rowOff>
    </xdr:from>
    <xdr:to>
      <xdr:col>0</xdr:col>
      <xdr:colOff>3971925</xdr:colOff>
      <xdr:row>14</xdr:row>
      <xdr:rowOff>704850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" y="13401675"/>
          <a:ext cx="3676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16</xdr:row>
      <xdr:rowOff>66675</xdr:rowOff>
    </xdr:from>
    <xdr:to>
      <xdr:col>0</xdr:col>
      <xdr:colOff>5095875</xdr:colOff>
      <xdr:row>16</xdr:row>
      <xdr:rowOff>3457575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" y="14306550"/>
          <a:ext cx="47529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17</xdr:row>
      <xdr:rowOff>95250</xdr:rowOff>
    </xdr:from>
    <xdr:to>
      <xdr:col>0</xdr:col>
      <xdr:colOff>5067300</xdr:colOff>
      <xdr:row>17</xdr:row>
      <xdr:rowOff>3067050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17887950"/>
          <a:ext cx="48291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18</xdr:row>
      <xdr:rowOff>66675</xdr:rowOff>
    </xdr:from>
    <xdr:to>
      <xdr:col>0</xdr:col>
      <xdr:colOff>5219700</xdr:colOff>
      <xdr:row>18</xdr:row>
      <xdr:rowOff>2847975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7175" y="20955000"/>
          <a:ext cx="4972050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4486275</xdr:colOff>
      <xdr:row>5</xdr:row>
      <xdr:rowOff>66675</xdr:rowOff>
    </xdr:from>
    <xdr:to>
      <xdr:col>0</xdr:col>
      <xdr:colOff>8201025</xdr:colOff>
      <xdr:row>5</xdr:row>
      <xdr:rowOff>2419350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86275" y="3000375"/>
          <a:ext cx="371475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4505325</xdr:colOff>
      <xdr:row>11</xdr:row>
      <xdr:rowOff>133350</xdr:rowOff>
    </xdr:from>
    <xdr:to>
      <xdr:col>0</xdr:col>
      <xdr:colOff>8324850</xdr:colOff>
      <xdr:row>11</xdr:row>
      <xdr:rowOff>2505075</xdr:rowOff>
    </xdr:to>
    <xdr:pic>
      <xdr:nvPicPr>
        <xdr:cNvPr id="11" name="Picture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05325" y="8743950"/>
          <a:ext cx="381952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4352925</xdr:colOff>
      <xdr:row>7</xdr:row>
      <xdr:rowOff>190500</xdr:rowOff>
    </xdr:from>
    <xdr:to>
      <xdr:col>0</xdr:col>
      <xdr:colOff>8220075</xdr:colOff>
      <xdr:row>7</xdr:row>
      <xdr:rowOff>1428750</xdr:rowOff>
    </xdr:to>
    <xdr:pic>
      <xdr:nvPicPr>
        <xdr:cNvPr id="12" name="Picture 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352925" y="5857875"/>
          <a:ext cx="3867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3819525</xdr:colOff>
      <xdr:row>13</xdr:row>
      <xdr:rowOff>133350</xdr:rowOff>
    </xdr:from>
    <xdr:to>
      <xdr:col>0</xdr:col>
      <xdr:colOff>8210550</xdr:colOff>
      <xdr:row>13</xdr:row>
      <xdr:rowOff>1695450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19525" y="11477625"/>
          <a:ext cx="43910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7315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13</xdr:col>
      <xdr:colOff>514350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5725" y="0"/>
        <a:ext cx="7858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0</xdr:row>
      <xdr:rowOff>0</xdr:rowOff>
    </xdr:from>
    <xdr:to>
      <xdr:col>13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23825" y="0"/>
        <a:ext cx="7800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0</xdr:row>
      <xdr:rowOff>0</xdr:rowOff>
    </xdr:from>
    <xdr:to>
      <xdr:col>13</xdr:col>
      <xdr:colOff>485775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95250" y="0"/>
        <a:ext cx="7820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514350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47625" y="0"/>
        <a:ext cx="78962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514350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47625" y="0"/>
        <a:ext cx="78962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33</xdr:row>
      <xdr:rowOff>0</xdr:rowOff>
    </xdr:from>
    <xdr:to>
      <xdr:col>13</xdr:col>
      <xdr:colOff>504825</xdr:colOff>
      <xdr:row>33</xdr:row>
      <xdr:rowOff>0</xdr:rowOff>
    </xdr:to>
    <xdr:graphicFrame>
      <xdr:nvGraphicFramePr>
        <xdr:cNvPr id="7" name="Chart 7"/>
        <xdr:cNvGraphicFramePr/>
      </xdr:nvGraphicFramePr>
      <xdr:xfrm>
        <a:off x="19050" y="5629275"/>
        <a:ext cx="79152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85725</xdr:colOff>
      <xdr:row>33</xdr:row>
      <xdr:rowOff>0</xdr:rowOff>
    </xdr:from>
    <xdr:to>
      <xdr:col>13</xdr:col>
      <xdr:colOff>514350</xdr:colOff>
      <xdr:row>33</xdr:row>
      <xdr:rowOff>0</xdr:rowOff>
    </xdr:to>
    <xdr:graphicFrame>
      <xdr:nvGraphicFramePr>
        <xdr:cNvPr id="8" name="Chart 8"/>
        <xdr:cNvGraphicFramePr/>
      </xdr:nvGraphicFramePr>
      <xdr:xfrm>
        <a:off x="85725" y="5629275"/>
        <a:ext cx="78581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152400</xdr:colOff>
      <xdr:row>33</xdr:row>
      <xdr:rowOff>0</xdr:rowOff>
    </xdr:from>
    <xdr:to>
      <xdr:col>13</xdr:col>
      <xdr:colOff>514350</xdr:colOff>
      <xdr:row>33</xdr:row>
      <xdr:rowOff>0</xdr:rowOff>
    </xdr:to>
    <xdr:graphicFrame>
      <xdr:nvGraphicFramePr>
        <xdr:cNvPr id="9" name="Chart 9"/>
        <xdr:cNvGraphicFramePr/>
      </xdr:nvGraphicFramePr>
      <xdr:xfrm>
        <a:off x="152400" y="5629275"/>
        <a:ext cx="77914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47625</xdr:colOff>
      <xdr:row>33</xdr:row>
      <xdr:rowOff>0</xdr:rowOff>
    </xdr:from>
    <xdr:to>
      <xdr:col>14</xdr:col>
      <xdr:colOff>523875</xdr:colOff>
      <xdr:row>33</xdr:row>
      <xdr:rowOff>0</xdr:rowOff>
    </xdr:to>
    <xdr:graphicFrame>
      <xdr:nvGraphicFramePr>
        <xdr:cNvPr id="10" name="Chart 10"/>
        <xdr:cNvGraphicFramePr/>
      </xdr:nvGraphicFramePr>
      <xdr:xfrm>
        <a:off x="47625" y="5629275"/>
        <a:ext cx="84772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33</xdr:row>
      <xdr:rowOff>0</xdr:rowOff>
    </xdr:from>
    <xdr:to>
      <xdr:col>14</xdr:col>
      <xdr:colOff>533400</xdr:colOff>
      <xdr:row>33</xdr:row>
      <xdr:rowOff>0</xdr:rowOff>
    </xdr:to>
    <xdr:graphicFrame>
      <xdr:nvGraphicFramePr>
        <xdr:cNvPr id="11" name="Chart 11"/>
        <xdr:cNvGraphicFramePr/>
      </xdr:nvGraphicFramePr>
      <xdr:xfrm>
        <a:off x="47625" y="5629275"/>
        <a:ext cx="84867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47625</xdr:colOff>
      <xdr:row>33</xdr:row>
      <xdr:rowOff>0</xdr:rowOff>
    </xdr:from>
    <xdr:to>
      <xdr:col>14</xdr:col>
      <xdr:colOff>552450</xdr:colOff>
      <xdr:row>33</xdr:row>
      <xdr:rowOff>0</xdr:rowOff>
    </xdr:to>
    <xdr:graphicFrame>
      <xdr:nvGraphicFramePr>
        <xdr:cNvPr id="12" name="Chart 12"/>
        <xdr:cNvGraphicFramePr/>
      </xdr:nvGraphicFramePr>
      <xdr:xfrm>
        <a:off x="47625" y="5629275"/>
        <a:ext cx="8505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114300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114300" y="0"/>
        <a:ext cx="73152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438150</xdr:colOff>
      <xdr:row>39</xdr:row>
      <xdr:rowOff>76200</xdr:rowOff>
    </xdr:from>
    <xdr:to>
      <xdr:col>14</xdr:col>
      <xdr:colOff>85725</xdr:colOff>
      <xdr:row>60</xdr:row>
      <xdr:rowOff>57150</xdr:rowOff>
    </xdr:to>
    <xdr:graphicFrame>
      <xdr:nvGraphicFramePr>
        <xdr:cNvPr id="14" name="Chart 15"/>
        <xdr:cNvGraphicFramePr/>
      </xdr:nvGraphicFramePr>
      <xdr:xfrm>
        <a:off x="438150" y="6753225"/>
        <a:ext cx="7648575" cy="3381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447675</xdr:colOff>
      <xdr:row>73</xdr:row>
      <xdr:rowOff>114300</xdr:rowOff>
    </xdr:from>
    <xdr:to>
      <xdr:col>13</xdr:col>
      <xdr:colOff>171450</xdr:colOff>
      <xdr:row>94</xdr:row>
      <xdr:rowOff>47625</xdr:rowOff>
    </xdr:to>
    <xdr:graphicFrame>
      <xdr:nvGraphicFramePr>
        <xdr:cNvPr id="15" name="Chart 16"/>
        <xdr:cNvGraphicFramePr/>
      </xdr:nvGraphicFramePr>
      <xdr:xfrm>
        <a:off x="447675" y="12563475"/>
        <a:ext cx="7153275" cy="33337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85725</xdr:colOff>
      <xdr:row>100</xdr:row>
      <xdr:rowOff>0</xdr:rowOff>
    </xdr:from>
    <xdr:to>
      <xdr:col>12</xdr:col>
      <xdr:colOff>171450</xdr:colOff>
      <xdr:row>100</xdr:row>
      <xdr:rowOff>0</xdr:rowOff>
    </xdr:to>
    <xdr:graphicFrame>
      <xdr:nvGraphicFramePr>
        <xdr:cNvPr id="16" name="Chart 18"/>
        <xdr:cNvGraphicFramePr/>
      </xdr:nvGraphicFramePr>
      <xdr:xfrm>
        <a:off x="85725" y="17011650"/>
        <a:ext cx="69437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485775</xdr:colOff>
      <xdr:row>7</xdr:row>
      <xdr:rowOff>0</xdr:rowOff>
    </xdr:from>
    <xdr:to>
      <xdr:col>13</xdr:col>
      <xdr:colOff>142875</xdr:colOff>
      <xdr:row>26</xdr:row>
      <xdr:rowOff>133350</xdr:rowOff>
    </xdr:to>
    <xdr:graphicFrame>
      <xdr:nvGraphicFramePr>
        <xdr:cNvPr id="17" name="Chart 19"/>
        <xdr:cNvGraphicFramePr/>
      </xdr:nvGraphicFramePr>
      <xdr:xfrm>
        <a:off x="485775" y="1228725"/>
        <a:ext cx="7086600" cy="3209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49</xdr:row>
      <xdr:rowOff>0</xdr:rowOff>
    </xdr:from>
    <xdr:to>
      <xdr:col>10</xdr:col>
      <xdr:colOff>9525</xdr:colOff>
      <xdr:row>64</xdr:row>
      <xdr:rowOff>76200</xdr:rowOff>
    </xdr:to>
    <xdr:graphicFrame>
      <xdr:nvGraphicFramePr>
        <xdr:cNvPr id="1" name="Chart 12"/>
        <xdr:cNvGraphicFramePr/>
      </xdr:nvGraphicFramePr>
      <xdr:xfrm>
        <a:off x="1914525" y="8734425"/>
        <a:ext cx="4000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228600</xdr:colOff>
      <xdr:row>65</xdr:row>
      <xdr:rowOff>19050</xdr:rowOff>
    </xdr:from>
    <xdr:to>
      <xdr:col>10</xdr:col>
      <xdr:colOff>0</xdr:colOff>
      <xdr:row>79</xdr:row>
      <xdr:rowOff>152400</xdr:rowOff>
    </xdr:to>
    <xdr:graphicFrame>
      <xdr:nvGraphicFramePr>
        <xdr:cNvPr id="2" name="Chart 13"/>
        <xdr:cNvGraphicFramePr/>
      </xdr:nvGraphicFramePr>
      <xdr:xfrm>
        <a:off x="2000250" y="11687175"/>
        <a:ext cx="39052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219075</xdr:colOff>
      <xdr:row>81</xdr:row>
      <xdr:rowOff>9525</xdr:rowOff>
    </xdr:from>
    <xdr:to>
      <xdr:col>10</xdr:col>
      <xdr:colOff>0</xdr:colOff>
      <xdr:row>96</xdr:row>
      <xdr:rowOff>0</xdr:rowOff>
    </xdr:to>
    <xdr:graphicFrame>
      <xdr:nvGraphicFramePr>
        <xdr:cNvPr id="3" name="Chart 14"/>
        <xdr:cNvGraphicFramePr/>
      </xdr:nvGraphicFramePr>
      <xdr:xfrm>
        <a:off x="1990725" y="14611350"/>
        <a:ext cx="391477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152400</xdr:colOff>
      <xdr:row>97</xdr:row>
      <xdr:rowOff>0</xdr:rowOff>
    </xdr:from>
    <xdr:to>
      <xdr:col>10</xdr:col>
      <xdr:colOff>0</xdr:colOff>
      <xdr:row>111</xdr:row>
      <xdr:rowOff>152400</xdr:rowOff>
    </xdr:to>
    <xdr:graphicFrame>
      <xdr:nvGraphicFramePr>
        <xdr:cNvPr id="4" name="Chart 15"/>
        <xdr:cNvGraphicFramePr/>
      </xdr:nvGraphicFramePr>
      <xdr:xfrm>
        <a:off x="1924050" y="17535525"/>
        <a:ext cx="3981450" cy="2762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171450</xdr:colOff>
      <xdr:row>113</xdr:row>
      <xdr:rowOff>0</xdr:rowOff>
    </xdr:from>
    <xdr:to>
      <xdr:col>10</xdr:col>
      <xdr:colOff>0</xdr:colOff>
      <xdr:row>127</xdr:row>
      <xdr:rowOff>152400</xdr:rowOff>
    </xdr:to>
    <xdr:graphicFrame>
      <xdr:nvGraphicFramePr>
        <xdr:cNvPr id="5" name="Chart 16"/>
        <xdr:cNvGraphicFramePr/>
      </xdr:nvGraphicFramePr>
      <xdr:xfrm>
        <a:off x="1943100" y="20469225"/>
        <a:ext cx="3962400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161925</xdr:colOff>
      <xdr:row>129</xdr:row>
      <xdr:rowOff>0</xdr:rowOff>
    </xdr:from>
    <xdr:to>
      <xdr:col>10</xdr:col>
      <xdr:colOff>9525</xdr:colOff>
      <xdr:row>144</xdr:row>
      <xdr:rowOff>0</xdr:rowOff>
    </xdr:to>
    <xdr:graphicFrame>
      <xdr:nvGraphicFramePr>
        <xdr:cNvPr id="6" name="Chart 17"/>
        <xdr:cNvGraphicFramePr/>
      </xdr:nvGraphicFramePr>
      <xdr:xfrm>
        <a:off x="1933575" y="23402925"/>
        <a:ext cx="3981450" cy="2771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133350</xdr:colOff>
      <xdr:row>145</xdr:row>
      <xdr:rowOff>0</xdr:rowOff>
    </xdr:from>
    <xdr:to>
      <xdr:col>9</xdr:col>
      <xdr:colOff>581025</xdr:colOff>
      <xdr:row>159</xdr:row>
      <xdr:rowOff>152400</xdr:rowOff>
    </xdr:to>
    <xdr:graphicFrame>
      <xdr:nvGraphicFramePr>
        <xdr:cNvPr id="7" name="Chart 18"/>
        <xdr:cNvGraphicFramePr/>
      </xdr:nvGraphicFramePr>
      <xdr:xfrm>
        <a:off x="1905000" y="26336625"/>
        <a:ext cx="3990975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133350</xdr:colOff>
      <xdr:row>162</xdr:row>
      <xdr:rowOff>0</xdr:rowOff>
    </xdr:from>
    <xdr:to>
      <xdr:col>10</xdr:col>
      <xdr:colOff>0</xdr:colOff>
      <xdr:row>175</xdr:row>
      <xdr:rowOff>152400</xdr:rowOff>
    </xdr:to>
    <xdr:graphicFrame>
      <xdr:nvGraphicFramePr>
        <xdr:cNvPr id="8" name="Chart 19"/>
        <xdr:cNvGraphicFramePr/>
      </xdr:nvGraphicFramePr>
      <xdr:xfrm>
        <a:off x="1905000" y="29432250"/>
        <a:ext cx="4000500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133350</xdr:colOff>
      <xdr:row>178</xdr:row>
      <xdr:rowOff>0</xdr:rowOff>
    </xdr:from>
    <xdr:to>
      <xdr:col>10</xdr:col>
      <xdr:colOff>0</xdr:colOff>
      <xdr:row>185</xdr:row>
      <xdr:rowOff>171450</xdr:rowOff>
    </xdr:to>
    <xdr:graphicFrame>
      <xdr:nvGraphicFramePr>
        <xdr:cNvPr id="9" name="Chart 20"/>
        <xdr:cNvGraphicFramePr/>
      </xdr:nvGraphicFramePr>
      <xdr:xfrm>
        <a:off x="1905000" y="32365950"/>
        <a:ext cx="4000500" cy="1495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123825</xdr:colOff>
      <xdr:row>2</xdr:row>
      <xdr:rowOff>0</xdr:rowOff>
    </xdr:from>
    <xdr:to>
      <xdr:col>9</xdr:col>
      <xdr:colOff>581025</xdr:colOff>
      <xdr:row>16</xdr:row>
      <xdr:rowOff>0</xdr:rowOff>
    </xdr:to>
    <xdr:graphicFrame>
      <xdr:nvGraphicFramePr>
        <xdr:cNvPr id="10" name="Chart 21"/>
        <xdr:cNvGraphicFramePr/>
      </xdr:nvGraphicFramePr>
      <xdr:xfrm>
        <a:off x="1895475" y="323850"/>
        <a:ext cx="4000500" cy="2381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123825</xdr:colOff>
      <xdr:row>33</xdr:row>
      <xdr:rowOff>9525</xdr:rowOff>
    </xdr:from>
    <xdr:to>
      <xdr:col>10</xdr:col>
      <xdr:colOff>0</xdr:colOff>
      <xdr:row>47</xdr:row>
      <xdr:rowOff>152400</xdr:rowOff>
    </xdr:to>
    <xdr:graphicFrame>
      <xdr:nvGraphicFramePr>
        <xdr:cNvPr id="11" name="Chart 22"/>
        <xdr:cNvGraphicFramePr/>
      </xdr:nvGraphicFramePr>
      <xdr:xfrm>
        <a:off x="1895475" y="5810250"/>
        <a:ext cx="4010025" cy="2752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123825</xdr:colOff>
      <xdr:row>18</xdr:row>
      <xdr:rowOff>0</xdr:rowOff>
    </xdr:from>
    <xdr:to>
      <xdr:col>9</xdr:col>
      <xdr:colOff>581025</xdr:colOff>
      <xdr:row>32</xdr:row>
      <xdr:rowOff>0</xdr:rowOff>
    </xdr:to>
    <xdr:graphicFrame>
      <xdr:nvGraphicFramePr>
        <xdr:cNvPr id="12" name="Chart 23"/>
        <xdr:cNvGraphicFramePr/>
      </xdr:nvGraphicFramePr>
      <xdr:xfrm>
        <a:off x="1895475" y="3028950"/>
        <a:ext cx="4000500" cy="2609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47625</xdr:colOff>
      <xdr:row>209</xdr:row>
      <xdr:rowOff>152400</xdr:rowOff>
    </xdr:from>
    <xdr:to>
      <xdr:col>13</xdr:col>
      <xdr:colOff>542925</xdr:colOff>
      <xdr:row>228</xdr:row>
      <xdr:rowOff>123825</xdr:rowOff>
    </xdr:to>
    <xdr:graphicFrame>
      <xdr:nvGraphicFramePr>
        <xdr:cNvPr id="13" name="Chart 24"/>
        <xdr:cNvGraphicFramePr/>
      </xdr:nvGraphicFramePr>
      <xdr:xfrm>
        <a:off x="47625" y="37899975"/>
        <a:ext cx="8172450" cy="3048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34</xdr:row>
      <xdr:rowOff>0</xdr:rowOff>
    </xdr:from>
    <xdr:to>
      <xdr:col>13</xdr:col>
      <xdr:colOff>476250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23825" y="5924550"/>
        <a:ext cx="8391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34</xdr:row>
      <xdr:rowOff>0</xdr:rowOff>
    </xdr:from>
    <xdr:to>
      <xdr:col>13</xdr:col>
      <xdr:colOff>552450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152400" y="5924550"/>
        <a:ext cx="8439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34</xdr:row>
      <xdr:rowOff>0</xdr:rowOff>
    </xdr:from>
    <xdr:to>
      <xdr:col>13</xdr:col>
      <xdr:colOff>552450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171450" y="5924550"/>
        <a:ext cx="8420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34</xdr:row>
      <xdr:rowOff>0</xdr:rowOff>
    </xdr:from>
    <xdr:to>
      <xdr:col>13</xdr:col>
      <xdr:colOff>552450</xdr:colOff>
      <xdr:row>34</xdr:row>
      <xdr:rowOff>0</xdr:rowOff>
    </xdr:to>
    <xdr:graphicFrame>
      <xdr:nvGraphicFramePr>
        <xdr:cNvPr id="4" name="Chart 4"/>
        <xdr:cNvGraphicFramePr/>
      </xdr:nvGraphicFramePr>
      <xdr:xfrm>
        <a:off x="180975" y="5924550"/>
        <a:ext cx="8410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171450</xdr:colOff>
      <xdr:row>34</xdr:row>
      <xdr:rowOff>0</xdr:rowOff>
    </xdr:from>
    <xdr:to>
      <xdr:col>13</xdr:col>
      <xdr:colOff>552450</xdr:colOff>
      <xdr:row>34</xdr:row>
      <xdr:rowOff>0</xdr:rowOff>
    </xdr:to>
    <xdr:graphicFrame>
      <xdr:nvGraphicFramePr>
        <xdr:cNvPr id="5" name="Chart 5"/>
        <xdr:cNvGraphicFramePr/>
      </xdr:nvGraphicFramePr>
      <xdr:xfrm>
        <a:off x="171450" y="5924550"/>
        <a:ext cx="84201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219075</xdr:colOff>
      <xdr:row>34</xdr:row>
      <xdr:rowOff>0</xdr:rowOff>
    </xdr:from>
    <xdr:to>
      <xdr:col>13</xdr:col>
      <xdr:colOff>571500</xdr:colOff>
      <xdr:row>34</xdr:row>
      <xdr:rowOff>0</xdr:rowOff>
    </xdr:to>
    <xdr:graphicFrame>
      <xdr:nvGraphicFramePr>
        <xdr:cNvPr id="6" name="Chart 6"/>
        <xdr:cNvGraphicFramePr/>
      </xdr:nvGraphicFramePr>
      <xdr:xfrm>
        <a:off x="219075" y="5924550"/>
        <a:ext cx="83915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152400</xdr:colOff>
      <xdr:row>34</xdr:row>
      <xdr:rowOff>0</xdr:rowOff>
    </xdr:from>
    <xdr:to>
      <xdr:col>13</xdr:col>
      <xdr:colOff>466725</xdr:colOff>
      <xdr:row>34</xdr:row>
      <xdr:rowOff>0</xdr:rowOff>
    </xdr:to>
    <xdr:graphicFrame>
      <xdr:nvGraphicFramePr>
        <xdr:cNvPr id="7" name="Chart 7"/>
        <xdr:cNvGraphicFramePr/>
      </xdr:nvGraphicFramePr>
      <xdr:xfrm>
        <a:off x="152400" y="5924550"/>
        <a:ext cx="83534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161925</xdr:colOff>
      <xdr:row>34</xdr:row>
      <xdr:rowOff>0</xdr:rowOff>
    </xdr:from>
    <xdr:to>
      <xdr:col>13</xdr:col>
      <xdr:colOff>581025</xdr:colOff>
      <xdr:row>34</xdr:row>
      <xdr:rowOff>0</xdr:rowOff>
    </xdr:to>
    <xdr:graphicFrame>
      <xdr:nvGraphicFramePr>
        <xdr:cNvPr id="8" name="Chart 8"/>
        <xdr:cNvGraphicFramePr/>
      </xdr:nvGraphicFramePr>
      <xdr:xfrm>
        <a:off x="161925" y="5924550"/>
        <a:ext cx="84582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180975</xdr:colOff>
      <xdr:row>34</xdr:row>
      <xdr:rowOff>0</xdr:rowOff>
    </xdr:from>
    <xdr:to>
      <xdr:col>13</xdr:col>
      <xdr:colOff>523875</xdr:colOff>
      <xdr:row>34</xdr:row>
      <xdr:rowOff>0</xdr:rowOff>
    </xdr:to>
    <xdr:graphicFrame>
      <xdr:nvGraphicFramePr>
        <xdr:cNvPr id="9" name="Chart 9"/>
        <xdr:cNvGraphicFramePr/>
      </xdr:nvGraphicFramePr>
      <xdr:xfrm>
        <a:off x="180975" y="5924550"/>
        <a:ext cx="83820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180975</xdr:colOff>
      <xdr:row>34</xdr:row>
      <xdr:rowOff>0</xdr:rowOff>
    </xdr:from>
    <xdr:to>
      <xdr:col>13</xdr:col>
      <xdr:colOff>552450</xdr:colOff>
      <xdr:row>34</xdr:row>
      <xdr:rowOff>0</xdr:rowOff>
    </xdr:to>
    <xdr:graphicFrame>
      <xdr:nvGraphicFramePr>
        <xdr:cNvPr id="10" name="Chart 10"/>
        <xdr:cNvGraphicFramePr/>
      </xdr:nvGraphicFramePr>
      <xdr:xfrm>
        <a:off x="180975" y="5924550"/>
        <a:ext cx="84105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200025</xdr:colOff>
      <xdr:row>34</xdr:row>
      <xdr:rowOff>0</xdr:rowOff>
    </xdr:from>
    <xdr:to>
      <xdr:col>13</xdr:col>
      <xdr:colOff>552450</xdr:colOff>
      <xdr:row>34</xdr:row>
      <xdr:rowOff>0</xdr:rowOff>
    </xdr:to>
    <xdr:graphicFrame>
      <xdr:nvGraphicFramePr>
        <xdr:cNvPr id="11" name="Chart 11"/>
        <xdr:cNvGraphicFramePr/>
      </xdr:nvGraphicFramePr>
      <xdr:xfrm>
        <a:off x="200025" y="5924550"/>
        <a:ext cx="83915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209550</xdr:colOff>
      <xdr:row>34</xdr:row>
      <xdr:rowOff>0</xdr:rowOff>
    </xdr:from>
    <xdr:to>
      <xdr:col>13</xdr:col>
      <xdr:colOff>581025</xdr:colOff>
      <xdr:row>34</xdr:row>
      <xdr:rowOff>0</xdr:rowOff>
    </xdr:to>
    <xdr:graphicFrame>
      <xdr:nvGraphicFramePr>
        <xdr:cNvPr id="12" name="Chart 12"/>
        <xdr:cNvGraphicFramePr/>
      </xdr:nvGraphicFramePr>
      <xdr:xfrm>
        <a:off x="209550" y="5924550"/>
        <a:ext cx="84105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219075</xdr:colOff>
      <xdr:row>34</xdr:row>
      <xdr:rowOff>0</xdr:rowOff>
    </xdr:from>
    <xdr:to>
      <xdr:col>13</xdr:col>
      <xdr:colOff>561975</xdr:colOff>
      <xdr:row>34</xdr:row>
      <xdr:rowOff>0</xdr:rowOff>
    </xdr:to>
    <xdr:graphicFrame>
      <xdr:nvGraphicFramePr>
        <xdr:cNvPr id="13" name="Chart 13"/>
        <xdr:cNvGraphicFramePr/>
      </xdr:nvGraphicFramePr>
      <xdr:xfrm>
        <a:off x="219075" y="5924550"/>
        <a:ext cx="83820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3825" y="0"/>
        <a:ext cx="8391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52400" y="0"/>
        <a:ext cx="8439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71450" y="0"/>
        <a:ext cx="8420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80975" y="0"/>
        <a:ext cx="8410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171450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71450" y="0"/>
        <a:ext cx="84201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13</xdr:col>
      <xdr:colOff>571500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219075" y="0"/>
        <a:ext cx="83915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13</xdr:col>
      <xdr:colOff>466725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52400" y="0"/>
        <a:ext cx="83534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161925</xdr:colOff>
      <xdr:row>0</xdr:row>
      <xdr:rowOff>0</xdr:rowOff>
    </xdr:from>
    <xdr:to>
      <xdr:col>13</xdr:col>
      <xdr:colOff>581025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161925" y="0"/>
        <a:ext cx="84582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180975</xdr:colOff>
      <xdr:row>0</xdr:row>
      <xdr:rowOff>0</xdr:rowOff>
    </xdr:from>
    <xdr:to>
      <xdr:col>13</xdr:col>
      <xdr:colOff>523875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180975" y="0"/>
        <a:ext cx="83820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180975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180975" y="0"/>
        <a:ext cx="84105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200025" y="0"/>
        <a:ext cx="83915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209550</xdr:colOff>
      <xdr:row>0</xdr:row>
      <xdr:rowOff>0</xdr:rowOff>
    </xdr:from>
    <xdr:to>
      <xdr:col>13</xdr:col>
      <xdr:colOff>581025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209550" y="0"/>
        <a:ext cx="84105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13</xdr:col>
      <xdr:colOff>561975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219075" y="0"/>
        <a:ext cx="83820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123825" y="0"/>
        <a:ext cx="83915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52400" y="0"/>
        <a:ext cx="84391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171450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171450" y="0"/>
        <a:ext cx="84201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180975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17" name="Chart 17"/>
        <xdr:cNvGraphicFramePr/>
      </xdr:nvGraphicFramePr>
      <xdr:xfrm>
        <a:off x="180975" y="0"/>
        <a:ext cx="841057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171450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18" name="Chart 18"/>
        <xdr:cNvGraphicFramePr/>
      </xdr:nvGraphicFramePr>
      <xdr:xfrm>
        <a:off x="171450" y="0"/>
        <a:ext cx="84201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13</xdr:col>
      <xdr:colOff>571500</xdr:colOff>
      <xdr:row>0</xdr:row>
      <xdr:rowOff>0</xdr:rowOff>
    </xdr:to>
    <xdr:graphicFrame>
      <xdr:nvGraphicFramePr>
        <xdr:cNvPr id="19" name="Chart 19"/>
        <xdr:cNvGraphicFramePr/>
      </xdr:nvGraphicFramePr>
      <xdr:xfrm>
        <a:off x="219075" y="0"/>
        <a:ext cx="83915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13</xdr:col>
      <xdr:colOff>466725</xdr:colOff>
      <xdr:row>0</xdr:row>
      <xdr:rowOff>0</xdr:rowOff>
    </xdr:to>
    <xdr:graphicFrame>
      <xdr:nvGraphicFramePr>
        <xdr:cNvPr id="20" name="Chart 20"/>
        <xdr:cNvGraphicFramePr/>
      </xdr:nvGraphicFramePr>
      <xdr:xfrm>
        <a:off x="152400" y="0"/>
        <a:ext cx="835342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161925</xdr:colOff>
      <xdr:row>0</xdr:row>
      <xdr:rowOff>0</xdr:rowOff>
    </xdr:from>
    <xdr:to>
      <xdr:col>13</xdr:col>
      <xdr:colOff>581025</xdr:colOff>
      <xdr:row>0</xdr:row>
      <xdr:rowOff>0</xdr:rowOff>
    </xdr:to>
    <xdr:graphicFrame>
      <xdr:nvGraphicFramePr>
        <xdr:cNvPr id="21" name="Chart 21"/>
        <xdr:cNvGraphicFramePr/>
      </xdr:nvGraphicFramePr>
      <xdr:xfrm>
        <a:off x="161925" y="0"/>
        <a:ext cx="84582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180975</xdr:colOff>
      <xdr:row>0</xdr:row>
      <xdr:rowOff>0</xdr:rowOff>
    </xdr:from>
    <xdr:to>
      <xdr:col>13</xdr:col>
      <xdr:colOff>523875</xdr:colOff>
      <xdr:row>0</xdr:row>
      <xdr:rowOff>0</xdr:rowOff>
    </xdr:to>
    <xdr:graphicFrame>
      <xdr:nvGraphicFramePr>
        <xdr:cNvPr id="22" name="Chart 22"/>
        <xdr:cNvGraphicFramePr/>
      </xdr:nvGraphicFramePr>
      <xdr:xfrm>
        <a:off x="180975" y="0"/>
        <a:ext cx="83820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180975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180975" y="0"/>
        <a:ext cx="841057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200025" y="0"/>
        <a:ext cx="83915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209550</xdr:colOff>
      <xdr:row>0</xdr:row>
      <xdr:rowOff>0</xdr:rowOff>
    </xdr:from>
    <xdr:to>
      <xdr:col>13</xdr:col>
      <xdr:colOff>581025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209550" y="0"/>
        <a:ext cx="841057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13</xdr:col>
      <xdr:colOff>561975</xdr:colOff>
      <xdr:row>0</xdr:row>
      <xdr:rowOff>0</xdr:rowOff>
    </xdr:to>
    <xdr:graphicFrame>
      <xdr:nvGraphicFramePr>
        <xdr:cNvPr id="26" name="Chart 26"/>
        <xdr:cNvGraphicFramePr/>
      </xdr:nvGraphicFramePr>
      <xdr:xfrm>
        <a:off x="219075" y="0"/>
        <a:ext cx="83820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123825</xdr:colOff>
      <xdr:row>34</xdr:row>
      <xdr:rowOff>0</xdr:rowOff>
    </xdr:from>
    <xdr:to>
      <xdr:col>13</xdr:col>
      <xdr:colOff>476250</xdr:colOff>
      <xdr:row>34</xdr:row>
      <xdr:rowOff>0</xdr:rowOff>
    </xdr:to>
    <xdr:graphicFrame>
      <xdr:nvGraphicFramePr>
        <xdr:cNvPr id="27" name="Chart 27"/>
        <xdr:cNvGraphicFramePr/>
      </xdr:nvGraphicFramePr>
      <xdr:xfrm>
        <a:off x="123825" y="5924550"/>
        <a:ext cx="839152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152400</xdr:colOff>
      <xdr:row>34</xdr:row>
      <xdr:rowOff>0</xdr:rowOff>
    </xdr:from>
    <xdr:to>
      <xdr:col>13</xdr:col>
      <xdr:colOff>552450</xdr:colOff>
      <xdr:row>34</xdr:row>
      <xdr:rowOff>0</xdr:rowOff>
    </xdr:to>
    <xdr:graphicFrame>
      <xdr:nvGraphicFramePr>
        <xdr:cNvPr id="28" name="Chart 28"/>
        <xdr:cNvGraphicFramePr/>
      </xdr:nvGraphicFramePr>
      <xdr:xfrm>
        <a:off x="152400" y="5924550"/>
        <a:ext cx="843915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171450</xdr:colOff>
      <xdr:row>34</xdr:row>
      <xdr:rowOff>0</xdr:rowOff>
    </xdr:from>
    <xdr:to>
      <xdr:col>13</xdr:col>
      <xdr:colOff>552450</xdr:colOff>
      <xdr:row>34</xdr:row>
      <xdr:rowOff>0</xdr:rowOff>
    </xdr:to>
    <xdr:graphicFrame>
      <xdr:nvGraphicFramePr>
        <xdr:cNvPr id="29" name="Chart 29"/>
        <xdr:cNvGraphicFramePr/>
      </xdr:nvGraphicFramePr>
      <xdr:xfrm>
        <a:off x="171450" y="5924550"/>
        <a:ext cx="84201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180975</xdr:colOff>
      <xdr:row>34</xdr:row>
      <xdr:rowOff>0</xdr:rowOff>
    </xdr:from>
    <xdr:to>
      <xdr:col>13</xdr:col>
      <xdr:colOff>552450</xdr:colOff>
      <xdr:row>34</xdr:row>
      <xdr:rowOff>0</xdr:rowOff>
    </xdr:to>
    <xdr:graphicFrame>
      <xdr:nvGraphicFramePr>
        <xdr:cNvPr id="30" name="Chart 30"/>
        <xdr:cNvGraphicFramePr/>
      </xdr:nvGraphicFramePr>
      <xdr:xfrm>
        <a:off x="180975" y="5924550"/>
        <a:ext cx="841057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171450</xdr:colOff>
      <xdr:row>34</xdr:row>
      <xdr:rowOff>0</xdr:rowOff>
    </xdr:from>
    <xdr:to>
      <xdr:col>13</xdr:col>
      <xdr:colOff>552450</xdr:colOff>
      <xdr:row>34</xdr:row>
      <xdr:rowOff>0</xdr:rowOff>
    </xdr:to>
    <xdr:graphicFrame>
      <xdr:nvGraphicFramePr>
        <xdr:cNvPr id="31" name="Chart 31"/>
        <xdr:cNvGraphicFramePr/>
      </xdr:nvGraphicFramePr>
      <xdr:xfrm>
        <a:off x="171450" y="5924550"/>
        <a:ext cx="84201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219075</xdr:colOff>
      <xdr:row>34</xdr:row>
      <xdr:rowOff>0</xdr:rowOff>
    </xdr:from>
    <xdr:to>
      <xdr:col>13</xdr:col>
      <xdr:colOff>571500</xdr:colOff>
      <xdr:row>34</xdr:row>
      <xdr:rowOff>0</xdr:rowOff>
    </xdr:to>
    <xdr:graphicFrame>
      <xdr:nvGraphicFramePr>
        <xdr:cNvPr id="32" name="Chart 32"/>
        <xdr:cNvGraphicFramePr/>
      </xdr:nvGraphicFramePr>
      <xdr:xfrm>
        <a:off x="219075" y="5924550"/>
        <a:ext cx="8391525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152400</xdr:colOff>
      <xdr:row>34</xdr:row>
      <xdr:rowOff>0</xdr:rowOff>
    </xdr:from>
    <xdr:to>
      <xdr:col>13</xdr:col>
      <xdr:colOff>466725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52400" y="5924550"/>
        <a:ext cx="8353425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161925</xdr:colOff>
      <xdr:row>34</xdr:row>
      <xdr:rowOff>0</xdr:rowOff>
    </xdr:from>
    <xdr:to>
      <xdr:col>13</xdr:col>
      <xdr:colOff>581025</xdr:colOff>
      <xdr:row>34</xdr:row>
      <xdr:rowOff>0</xdr:rowOff>
    </xdr:to>
    <xdr:graphicFrame>
      <xdr:nvGraphicFramePr>
        <xdr:cNvPr id="34" name="Chart 34"/>
        <xdr:cNvGraphicFramePr/>
      </xdr:nvGraphicFramePr>
      <xdr:xfrm>
        <a:off x="161925" y="5924550"/>
        <a:ext cx="84582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180975</xdr:colOff>
      <xdr:row>34</xdr:row>
      <xdr:rowOff>0</xdr:rowOff>
    </xdr:from>
    <xdr:to>
      <xdr:col>13</xdr:col>
      <xdr:colOff>523875</xdr:colOff>
      <xdr:row>34</xdr:row>
      <xdr:rowOff>0</xdr:rowOff>
    </xdr:to>
    <xdr:graphicFrame>
      <xdr:nvGraphicFramePr>
        <xdr:cNvPr id="35" name="Chart 35"/>
        <xdr:cNvGraphicFramePr/>
      </xdr:nvGraphicFramePr>
      <xdr:xfrm>
        <a:off x="180975" y="5924550"/>
        <a:ext cx="83820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180975</xdr:colOff>
      <xdr:row>34</xdr:row>
      <xdr:rowOff>0</xdr:rowOff>
    </xdr:from>
    <xdr:to>
      <xdr:col>13</xdr:col>
      <xdr:colOff>552450</xdr:colOff>
      <xdr:row>34</xdr:row>
      <xdr:rowOff>0</xdr:rowOff>
    </xdr:to>
    <xdr:graphicFrame>
      <xdr:nvGraphicFramePr>
        <xdr:cNvPr id="36" name="Chart 36"/>
        <xdr:cNvGraphicFramePr/>
      </xdr:nvGraphicFramePr>
      <xdr:xfrm>
        <a:off x="180975" y="5924550"/>
        <a:ext cx="8410575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200025</xdr:colOff>
      <xdr:row>34</xdr:row>
      <xdr:rowOff>0</xdr:rowOff>
    </xdr:from>
    <xdr:to>
      <xdr:col>13</xdr:col>
      <xdr:colOff>552450</xdr:colOff>
      <xdr:row>34</xdr:row>
      <xdr:rowOff>0</xdr:rowOff>
    </xdr:to>
    <xdr:graphicFrame>
      <xdr:nvGraphicFramePr>
        <xdr:cNvPr id="37" name="Chart 37"/>
        <xdr:cNvGraphicFramePr/>
      </xdr:nvGraphicFramePr>
      <xdr:xfrm>
        <a:off x="200025" y="5924550"/>
        <a:ext cx="8391525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209550</xdr:colOff>
      <xdr:row>34</xdr:row>
      <xdr:rowOff>0</xdr:rowOff>
    </xdr:from>
    <xdr:to>
      <xdr:col>13</xdr:col>
      <xdr:colOff>581025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209550" y="5924550"/>
        <a:ext cx="8410575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219075</xdr:colOff>
      <xdr:row>34</xdr:row>
      <xdr:rowOff>0</xdr:rowOff>
    </xdr:from>
    <xdr:to>
      <xdr:col>13</xdr:col>
      <xdr:colOff>561975</xdr:colOff>
      <xdr:row>34</xdr:row>
      <xdr:rowOff>0</xdr:rowOff>
    </xdr:to>
    <xdr:graphicFrame>
      <xdr:nvGraphicFramePr>
        <xdr:cNvPr id="39" name="Chart 39"/>
        <xdr:cNvGraphicFramePr/>
      </xdr:nvGraphicFramePr>
      <xdr:xfrm>
        <a:off x="219075" y="5924550"/>
        <a:ext cx="83820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3825" y="0"/>
        <a:ext cx="8391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52400" y="0"/>
        <a:ext cx="8439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71450" y="0"/>
        <a:ext cx="8420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80975" y="0"/>
        <a:ext cx="8410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171450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71450" y="0"/>
        <a:ext cx="84201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13</xdr:col>
      <xdr:colOff>571500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219075" y="0"/>
        <a:ext cx="83915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13</xdr:col>
      <xdr:colOff>466725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52400" y="0"/>
        <a:ext cx="83534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161925</xdr:colOff>
      <xdr:row>0</xdr:row>
      <xdr:rowOff>0</xdr:rowOff>
    </xdr:from>
    <xdr:to>
      <xdr:col>13</xdr:col>
      <xdr:colOff>581025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161925" y="0"/>
        <a:ext cx="84582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180975</xdr:colOff>
      <xdr:row>0</xdr:row>
      <xdr:rowOff>0</xdr:rowOff>
    </xdr:from>
    <xdr:to>
      <xdr:col>13</xdr:col>
      <xdr:colOff>523875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180975" y="0"/>
        <a:ext cx="83820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180975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180975" y="0"/>
        <a:ext cx="84105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200025" y="0"/>
        <a:ext cx="83915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209550</xdr:colOff>
      <xdr:row>0</xdr:row>
      <xdr:rowOff>0</xdr:rowOff>
    </xdr:from>
    <xdr:to>
      <xdr:col>13</xdr:col>
      <xdr:colOff>581025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209550" y="0"/>
        <a:ext cx="84105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13</xdr:col>
      <xdr:colOff>561975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219075" y="0"/>
        <a:ext cx="83820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123825" y="0"/>
        <a:ext cx="83915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52400" y="0"/>
        <a:ext cx="84391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171450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171450" y="0"/>
        <a:ext cx="84201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180975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17" name="Chart 17"/>
        <xdr:cNvGraphicFramePr/>
      </xdr:nvGraphicFramePr>
      <xdr:xfrm>
        <a:off x="180975" y="0"/>
        <a:ext cx="841057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171450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18" name="Chart 18"/>
        <xdr:cNvGraphicFramePr/>
      </xdr:nvGraphicFramePr>
      <xdr:xfrm>
        <a:off x="171450" y="0"/>
        <a:ext cx="84201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13</xdr:col>
      <xdr:colOff>571500</xdr:colOff>
      <xdr:row>0</xdr:row>
      <xdr:rowOff>0</xdr:rowOff>
    </xdr:to>
    <xdr:graphicFrame>
      <xdr:nvGraphicFramePr>
        <xdr:cNvPr id="19" name="Chart 19"/>
        <xdr:cNvGraphicFramePr/>
      </xdr:nvGraphicFramePr>
      <xdr:xfrm>
        <a:off x="219075" y="0"/>
        <a:ext cx="83915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13</xdr:col>
      <xdr:colOff>466725</xdr:colOff>
      <xdr:row>0</xdr:row>
      <xdr:rowOff>0</xdr:rowOff>
    </xdr:to>
    <xdr:graphicFrame>
      <xdr:nvGraphicFramePr>
        <xdr:cNvPr id="20" name="Chart 20"/>
        <xdr:cNvGraphicFramePr/>
      </xdr:nvGraphicFramePr>
      <xdr:xfrm>
        <a:off x="152400" y="0"/>
        <a:ext cx="835342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161925</xdr:colOff>
      <xdr:row>0</xdr:row>
      <xdr:rowOff>0</xdr:rowOff>
    </xdr:from>
    <xdr:to>
      <xdr:col>13</xdr:col>
      <xdr:colOff>581025</xdr:colOff>
      <xdr:row>0</xdr:row>
      <xdr:rowOff>0</xdr:rowOff>
    </xdr:to>
    <xdr:graphicFrame>
      <xdr:nvGraphicFramePr>
        <xdr:cNvPr id="21" name="Chart 21"/>
        <xdr:cNvGraphicFramePr/>
      </xdr:nvGraphicFramePr>
      <xdr:xfrm>
        <a:off x="161925" y="0"/>
        <a:ext cx="84582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180975</xdr:colOff>
      <xdr:row>0</xdr:row>
      <xdr:rowOff>0</xdr:rowOff>
    </xdr:from>
    <xdr:to>
      <xdr:col>13</xdr:col>
      <xdr:colOff>523875</xdr:colOff>
      <xdr:row>0</xdr:row>
      <xdr:rowOff>0</xdr:rowOff>
    </xdr:to>
    <xdr:graphicFrame>
      <xdr:nvGraphicFramePr>
        <xdr:cNvPr id="22" name="Chart 22"/>
        <xdr:cNvGraphicFramePr/>
      </xdr:nvGraphicFramePr>
      <xdr:xfrm>
        <a:off x="180975" y="0"/>
        <a:ext cx="83820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180975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180975" y="0"/>
        <a:ext cx="841057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200025" y="0"/>
        <a:ext cx="83915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209550</xdr:colOff>
      <xdr:row>0</xdr:row>
      <xdr:rowOff>0</xdr:rowOff>
    </xdr:from>
    <xdr:to>
      <xdr:col>13</xdr:col>
      <xdr:colOff>581025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209550" y="0"/>
        <a:ext cx="841057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13</xdr:col>
      <xdr:colOff>561975</xdr:colOff>
      <xdr:row>0</xdr:row>
      <xdr:rowOff>0</xdr:rowOff>
    </xdr:to>
    <xdr:graphicFrame>
      <xdr:nvGraphicFramePr>
        <xdr:cNvPr id="26" name="Chart 26"/>
        <xdr:cNvGraphicFramePr/>
      </xdr:nvGraphicFramePr>
      <xdr:xfrm>
        <a:off x="219075" y="0"/>
        <a:ext cx="83820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>
      <xdr:nvGraphicFramePr>
        <xdr:cNvPr id="27" name="Chart 27"/>
        <xdr:cNvGraphicFramePr/>
      </xdr:nvGraphicFramePr>
      <xdr:xfrm>
        <a:off x="123825" y="0"/>
        <a:ext cx="839152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28" name="Chart 28"/>
        <xdr:cNvGraphicFramePr/>
      </xdr:nvGraphicFramePr>
      <xdr:xfrm>
        <a:off x="152400" y="0"/>
        <a:ext cx="843915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171450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29" name="Chart 29"/>
        <xdr:cNvGraphicFramePr/>
      </xdr:nvGraphicFramePr>
      <xdr:xfrm>
        <a:off x="171450" y="0"/>
        <a:ext cx="84201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180975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30" name="Chart 30"/>
        <xdr:cNvGraphicFramePr/>
      </xdr:nvGraphicFramePr>
      <xdr:xfrm>
        <a:off x="180975" y="0"/>
        <a:ext cx="841057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171450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31" name="Chart 31"/>
        <xdr:cNvGraphicFramePr/>
      </xdr:nvGraphicFramePr>
      <xdr:xfrm>
        <a:off x="171450" y="0"/>
        <a:ext cx="84201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13</xdr:col>
      <xdr:colOff>571500</xdr:colOff>
      <xdr:row>0</xdr:row>
      <xdr:rowOff>0</xdr:rowOff>
    </xdr:to>
    <xdr:graphicFrame>
      <xdr:nvGraphicFramePr>
        <xdr:cNvPr id="32" name="Chart 32"/>
        <xdr:cNvGraphicFramePr/>
      </xdr:nvGraphicFramePr>
      <xdr:xfrm>
        <a:off x="219075" y="0"/>
        <a:ext cx="8391525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13</xdr:col>
      <xdr:colOff>466725</xdr:colOff>
      <xdr:row>0</xdr:row>
      <xdr:rowOff>0</xdr:rowOff>
    </xdr:to>
    <xdr:graphicFrame>
      <xdr:nvGraphicFramePr>
        <xdr:cNvPr id="33" name="Chart 33"/>
        <xdr:cNvGraphicFramePr/>
      </xdr:nvGraphicFramePr>
      <xdr:xfrm>
        <a:off x="152400" y="0"/>
        <a:ext cx="8353425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161925</xdr:colOff>
      <xdr:row>0</xdr:row>
      <xdr:rowOff>0</xdr:rowOff>
    </xdr:from>
    <xdr:to>
      <xdr:col>13</xdr:col>
      <xdr:colOff>581025</xdr:colOff>
      <xdr:row>0</xdr:row>
      <xdr:rowOff>0</xdr:rowOff>
    </xdr:to>
    <xdr:graphicFrame>
      <xdr:nvGraphicFramePr>
        <xdr:cNvPr id="34" name="Chart 34"/>
        <xdr:cNvGraphicFramePr/>
      </xdr:nvGraphicFramePr>
      <xdr:xfrm>
        <a:off x="161925" y="0"/>
        <a:ext cx="84582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180975</xdr:colOff>
      <xdr:row>0</xdr:row>
      <xdr:rowOff>0</xdr:rowOff>
    </xdr:from>
    <xdr:to>
      <xdr:col>13</xdr:col>
      <xdr:colOff>523875</xdr:colOff>
      <xdr:row>0</xdr:row>
      <xdr:rowOff>0</xdr:rowOff>
    </xdr:to>
    <xdr:graphicFrame>
      <xdr:nvGraphicFramePr>
        <xdr:cNvPr id="35" name="Chart 35"/>
        <xdr:cNvGraphicFramePr/>
      </xdr:nvGraphicFramePr>
      <xdr:xfrm>
        <a:off x="180975" y="0"/>
        <a:ext cx="83820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180975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36" name="Chart 36"/>
        <xdr:cNvGraphicFramePr/>
      </xdr:nvGraphicFramePr>
      <xdr:xfrm>
        <a:off x="180975" y="0"/>
        <a:ext cx="8410575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37" name="Chart 37"/>
        <xdr:cNvGraphicFramePr/>
      </xdr:nvGraphicFramePr>
      <xdr:xfrm>
        <a:off x="200025" y="0"/>
        <a:ext cx="8391525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209550</xdr:colOff>
      <xdr:row>0</xdr:row>
      <xdr:rowOff>0</xdr:rowOff>
    </xdr:from>
    <xdr:to>
      <xdr:col>13</xdr:col>
      <xdr:colOff>581025</xdr:colOff>
      <xdr:row>0</xdr:row>
      <xdr:rowOff>0</xdr:rowOff>
    </xdr:to>
    <xdr:graphicFrame>
      <xdr:nvGraphicFramePr>
        <xdr:cNvPr id="38" name="Chart 38"/>
        <xdr:cNvGraphicFramePr/>
      </xdr:nvGraphicFramePr>
      <xdr:xfrm>
        <a:off x="209550" y="0"/>
        <a:ext cx="8410575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13</xdr:col>
      <xdr:colOff>561975</xdr:colOff>
      <xdr:row>0</xdr:row>
      <xdr:rowOff>0</xdr:rowOff>
    </xdr:to>
    <xdr:graphicFrame>
      <xdr:nvGraphicFramePr>
        <xdr:cNvPr id="39" name="Chart 39"/>
        <xdr:cNvGraphicFramePr/>
      </xdr:nvGraphicFramePr>
      <xdr:xfrm>
        <a:off x="219075" y="0"/>
        <a:ext cx="83820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>
      <xdr:nvGraphicFramePr>
        <xdr:cNvPr id="40" name="Chart 40"/>
        <xdr:cNvGraphicFramePr/>
      </xdr:nvGraphicFramePr>
      <xdr:xfrm>
        <a:off x="123825" y="0"/>
        <a:ext cx="8391525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41" name="Chart 41"/>
        <xdr:cNvGraphicFramePr/>
      </xdr:nvGraphicFramePr>
      <xdr:xfrm>
        <a:off x="152400" y="0"/>
        <a:ext cx="843915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171450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42" name="Chart 42"/>
        <xdr:cNvGraphicFramePr/>
      </xdr:nvGraphicFramePr>
      <xdr:xfrm>
        <a:off x="171450" y="0"/>
        <a:ext cx="84201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180975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43" name="Chart 43"/>
        <xdr:cNvGraphicFramePr/>
      </xdr:nvGraphicFramePr>
      <xdr:xfrm>
        <a:off x="180975" y="0"/>
        <a:ext cx="8410575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171450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44" name="Chart 44"/>
        <xdr:cNvGraphicFramePr/>
      </xdr:nvGraphicFramePr>
      <xdr:xfrm>
        <a:off x="171450" y="0"/>
        <a:ext cx="84201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13</xdr:col>
      <xdr:colOff>571500</xdr:colOff>
      <xdr:row>0</xdr:row>
      <xdr:rowOff>0</xdr:rowOff>
    </xdr:to>
    <xdr:graphicFrame>
      <xdr:nvGraphicFramePr>
        <xdr:cNvPr id="45" name="Chart 45"/>
        <xdr:cNvGraphicFramePr/>
      </xdr:nvGraphicFramePr>
      <xdr:xfrm>
        <a:off x="219075" y="0"/>
        <a:ext cx="8391525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13</xdr:col>
      <xdr:colOff>466725</xdr:colOff>
      <xdr:row>0</xdr:row>
      <xdr:rowOff>0</xdr:rowOff>
    </xdr:to>
    <xdr:graphicFrame>
      <xdr:nvGraphicFramePr>
        <xdr:cNvPr id="46" name="Chart 46"/>
        <xdr:cNvGraphicFramePr/>
      </xdr:nvGraphicFramePr>
      <xdr:xfrm>
        <a:off x="152400" y="0"/>
        <a:ext cx="8353425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161925</xdr:colOff>
      <xdr:row>0</xdr:row>
      <xdr:rowOff>0</xdr:rowOff>
    </xdr:from>
    <xdr:to>
      <xdr:col>13</xdr:col>
      <xdr:colOff>581025</xdr:colOff>
      <xdr:row>0</xdr:row>
      <xdr:rowOff>0</xdr:rowOff>
    </xdr:to>
    <xdr:graphicFrame>
      <xdr:nvGraphicFramePr>
        <xdr:cNvPr id="47" name="Chart 47"/>
        <xdr:cNvGraphicFramePr/>
      </xdr:nvGraphicFramePr>
      <xdr:xfrm>
        <a:off x="161925" y="0"/>
        <a:ext cx="84582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180975</xdr:colOff>
      <xdr:row>0</xdr:row>
      <xdr:rowOff>0</xdr:rowOff>
    </xdr:from>
    <xdr:to>
      <xdr:col>13</xdr:col>
      <xdr:colOff>523875</xdr:colOff>
      <xdr:row>0</xdr:row>
      <xdr:rowOff>0</xdr:rowOff>
    </xdr:to>
    <xdr:graphicFrame>
      <xdr:nvGraphicFramePr>
        <xdr:cNvPr id="48" name="Chart 48"/>
        <xdr:cNvGraphicFramePr/>
      </xdr:nvGraphicFramePr>
      <xdr:xfrm>
        <a:off x="180975" y="0"/>
        <a:ext cx="83820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180975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49" name="Chart 49"/>
        <xdr:cNvGraphicFramePr/>
      </xdr:nvGraphicFramePr>
      <xdr:xfrm>
        <a:off x="180975" y="0"/>
        <a:ext cx="8410575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50" name="Chart 50"/>
        <xdr:cNvGraphicFramePr/>
      </xdr:nvGraphicFramePr>
      <xdr:xfrm>
        <a:off x="200025" y="0"/>
        <a:ext cx="8391525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209550</xdr:colOff>
      <xdr:row>0</xdr:row>
      <xdr:rowOff>0</xdr:rowOff>
    </xdr:from>
    <xdr:to>
      <xdr:col>13</xdr:col>
      <xdr:colOff>581025</xdr:colOff>
      <xdr:row>0</xdr:row>
      <xdr:rowOff>0</xdr:rowOff>
    </xdr:to>
    <xdr:graphicFrame>
      <xdr:nvGraphicFramePr>
        <xdr:cNvPr id="51" name="Chart 51"/>
        <xdr:cNvGraphicFramePr/>
      </xdr:nvGraphicFramePr>
      <xdr:xfrm>
        <a:off x="209550" y="0"/>
        <a:ext cx="8410575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13</xdr:col>
      <xdr:colOff>561975</xdr:colOff>
      <xdr:row>0</xdr:row>
      <xdr:rowOff>0</xdr:rowOff>
    </xdr:to>
    <xdr:graphicFrame>
      <xdr:nvGraphicFramePr>
        <xdr:cNvPr id="52" name="Chart 52"/>
        <xdr:cNvGraphicFramePr/>
      </xdr:nvGraphicFramePr>
      <xdr:xfrm>
        <a:off x="219075" y="0"/>
        <a:ext cx="83820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>
      <xdr:nvGraphicFramePr>
        <xdr:cNvPr id="53" name="Chart 53"/>
        <xdr:cNvGraphicFramePr/>
      </xdr:nvGraphicFramePr>
      <xdr:xfrm>
        <a:off x="123825" y="0"/>
        <a:ext cx="83915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54" name="Chart 54"/>
        <xdr:cNvGraphicFramePr/>
      </xdr:nvGraphicFramePr>
      <xdr:xfrm>
        <a:off x="152400" y="0"/>
        <a:ext cx="843915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171450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55" name="Chart 55"/>
        <xdr:cNvGraphicFramePr/>
      </xdr:nvGraphicFramePr>
      <xdr:xfrm>
        <a:off x="171450" y="0"/>
        <a:ext cx="84201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180975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56" name="Chart 56"/>
        <xdr:cNvGraphicFramePr/>
      </xdr:nvGraphicFramePr>
      <xdr:xfrm>
        <a:off x="180975" y="0"/>
        <a:ext cx="8410575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171450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57" name="Chart 57"/>
        <xdr:cNvGraphicFramePr/>
      </xdr:nvGraphicFramePr>
      <xdr:xfrm>
        <a:off x="171450" y="0"/>
        <a:ext cx="84201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13</xdr:col>
      <xdr:colOff>571500</xdr:colOff>
      <xdr:row>0</xdr:row>
      <xdr:rowOff>0</xdr:rowOff>
    </xdr:to>
    <xdr:graphicFrame>
      <xdr:nvGraphicFramePr>
        <xdr:cNvPr id="58" name="Chart 58"/>
        <xdr:cNvGraphicFramePr/>
      </xdr:nvGraphicFramePr>
      <xdr:xfrm>
        <a:off x="219075" y="0"/>
        <a:ext cx="8391525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13</xdr:col>
      <xdr:colOff>466725</xdr:colOff>
      <xdr:row>0</xdr:row>
      <xdr:rowOff>0</xdr:rowOff>
    </xdr:to>
    <xdr:graphicFrame>
      <xdr:nvGraphicFramePr>
        <xdr:cNvPr id="59" name="Chart 59"/>
        <xdr:cNvGraphicFramePr/>
      </xdr:nvGraphicFramePr>
      <xdr:xfrm>
        <a:off x="152400" y="0"/>
        <a:ext cx="8353425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161925</xdr:colOff>
      <xdr:row>0</xdr:row>
      <xdr:rowOff>0</xdr:rowOff>
    </xdr:from>
    <xdr:to>
      <xdr:col>13</xdr:col>
      <xdr:colOff>581025</xdr:colOff>
      <xdr:row>0</xdr:row>
      <xdr:rowOff>0</xdr:rowOff>
    </xdr:to>
    <xdr:graphicFrame>
      <xdr:nvGraphicFramePr>
        <xdr:cNvPr id="60" name="Chart 60"/>
        <xdr:cNvGraphicFramePr/>
      </xdr:nvGraphicFramePr>
      <xdr:xfrm>
        <a:off x="161925" y="0"/>
        <a:ext cx="84582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180975</xdr:colOff>
      <xdr:row>0</xdr:row>
      <xdr:rowOff>0</xdr:rowOff>
    </xdr:from>
    <xdr:to>
      <xdr:col>13</xdr:col>
      <xdr:colOff>523875</xdr:colOff>
      <xdr:row>0</xdr:row>
      <xdr:rowOff>0</xdr:rowOff>
    </xdr:to>
    <xdr:graphicFrame>
      <xdr:nvGraphicFramePr>
        <xdr:cNvPr id="61" name="Chart 61"/>
        <xdr:cNvGraphicFramePr/>
      </xdr:nvGraphicFramePr>
      <xdr:xfrm>
        <a:off x="180975" y="0"/>
        <a:ext cx="8382000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180975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62" name="Chart 62"/>
        <xdr:cNvGraphicFramePr/>
      </xdr:nvGraphicFramePr>
      <xdr:xfrm>
        <a:off x="180975" y="0"/>
        <a:ext cx="841057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13</xdr:col>
      <xdr:colOff>552450</xdr:colOff>
      <xdr:row>0</xdr:row>
      <xdr:rowOff>0</xdr:rowOff>
    </xdr:to>
    <xdr:graphicFrame>
      <xdr:nvGraphicFramePr>
        <xdr:cNvPr id="63" name="Chart 63"/>
        <xdr:cNvGraphicFramePr/>
      </xdr:nvGraphicFramePr>
      <xdr:xfrm>
        <a:off x="200025" y="0"/>
        <a:ext cx="83915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209550</xdr:colOff>
      <xdr:row>0</xdr:row>
      <xdr:rowOff>0</xdr:rowOff>
    </xdr:from>
    <xdr:to>
      <xdr:col>13</xdr:col>
      <xdr:colOff>581025</xdr:colOff>
      <xdr:row>0</xdr:row>
      <xdr:rowOff>0</xdr:rowOff>
    </xdr:to>
    <xdr:graphicFrame>
      <xdr:nvGraphicFramePr>
        <xdr:cNvPr id="64" name="Chart 64"/>
        <xdr:cNvGraphicFramePr/>
      </xdr:nvGraphicFramePr>
      <xdr:xfrm>
        <a:off x="209550" y="0"/>
        <a:ext cx="841057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13</xdr:col>
      <xdr:colOff>561975</xdr:colOff>
      <xdr:row>0</xdr:row>
      <xdr:rowOff>0</xdr:rowOff>
    </xdr:to>
    <xdr:graphicFrame>
      <xdr:nvGraphicFramePr>
        <xdr:cNvPr id="65" name="Chart 65"/>
        <xdr:cNvGraphicFramePr/>
      </xdr:nvGraphicFramePr>
      <xdr:xfrm>
        <a:off x="219075" y="0"/>
        <a:ext cx="8382000" cy="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0</xdr:col>
      <xdr:colOff>123825</xdr:colOff>
      <xdr:row>34</xdr:row>
      <xdr:rowOff>0</xdr:rowOff>
    </xdr:from>
    <xdr:to>
      <xdr:col>13</xdr:col>
      <xdr:colOff>476250</xdr:colOff>
      <xdr:row>34</xdr:row>
      <xdr:rowOff>0</xdr:rowOff>
    </xdr:to>
    <xdr:graphicFrame>
      <xdr:nvGraphicFramePr>
        <xdr:cNvPr id="66" name="Chart 66"/>
        <xdr:cNvGraphicFramePr/>
      </xdr:nvGraphicFramePr>
      <xdr:xfrm>
        <a:off x="123825" y="5924550"/>
        <a:ext cx="8391525" cy="0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0</xdr:col>
      <xdr:colOff>152400</xdr:colOff>
      <xdr:row>34</xdr:row>
      <xdr:rowOff>0</xdr:rowOff>
    </xdr:from>
    <xdr:to>
      <xdr:col>13</xdr:col>
      <xdr:colOff>552450</xdr:colOff>
      <xdr:row>34</xdr:row>
      <xdr:rowOff>0</xdr:rowOff>
    </xdr:to>
    <xdr:graphicFrame>
      <xdr:nvGraphicFramePr>
        <xdr:cNvPr id="67" name="Chart 67"/>
        <xdr:cNvGraphicFramePr/>
      </xdr:nvGraphicFramePr>
      <xdr:xfrm>
        <a:off x="152400" y="5924550"/>
        <a:ext cx="8439150" cy="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0</xdr:col>
      <xdr:colOff>171450</xdr:colOff>
      <xdr:row>34</xdr:row>
      <xdr:rowOff>0</xdr:rowOff>
    </xdr:from>
    <xdr:to>
      <xdr:col>13</xdr:col>
      <xdr:colOff>552450</xdr:colOff>
      <xdr:row>34</xdr:row>
      <xdr:rowOff>0</xdr:rowOff>
    </xdr:to>
    <xdr:graphicFrame>
      <xdr:nvGraphicFramePr>
        <xdr:cNvPr id="68" name="Chart 68"/>
        <xdr:cNvGraphicFramePr/>
      </xdr:nvGraphicFramePr>
      <xdr:xfrm>
        <a:off x="171450" y="5924550"/>
        <a:ext cx="8420100" cy="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0</xdr:col>
      <xdr:colOff>180975</xdr:colOff>
      <xdr:row>34</xdr:row>
      <xdr:rowOff>0</xdr:rowOff>
    </xdr:from>
    <xdr:to>
      <xdr:col>13</xdr:col>
      <xdr:colOff>552450</xdr:colOff>
      <xdr:row>34</xdr:row>
      <xdr:rowOff>0</xdr:rowOff>
    </xdr:to>
    <xdr:graphicFrame>
      <xdr:nvGraphicFramePr>
        <xdr:cNvPr id="69" name="Chart 69"/>
        <xdr:cNvGraphicFramePr/>
      </xdr:nvGraphicFramePr>
      <xdr:xfrm>
        <a:off x="180975" y="5924550"/>
        <a:ext cx="8410575" cy="0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0</xdr:col>
      <xdr:colOff>171450</xdr:colOff>
      <xdr:row>34</xdr:row>
      <xdr:rowOff>0</xdr:rowOff>
    </xdr:from>
    <xdr:to>
      <xdr:col>13</xdr:col>
      <xdr:colOff>552450</xdr:colOff>
      <xdr:row>34</xdr:row>
      <xdr:rowOff>0</xdr:rowOff>
    </xdr:to>
    <xdr:graphicFrame>
      <xdr:nvGraphicFramePr>
        <xdr:cNvPr id="70" name="Chart 70"/>
        <xdr:cNvGraphicFramePr/>
      </xdr:nvGraphicFramePr>
      <xdr:xfrm>
        <a:off x="171450" y="5924550"/>
        <a:ext cx="8420100" cy="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0</xdr:col>
      <xdr:colOff>219075</xdr:colOff>
      <xdr:row>34</xdr:row>
      <xdr:rowOff>0</xdr:rowOff>
    </xdr:from>
    <xdr:to>
      <xdr:col>13</xdr:col>
      <xdr:colOff>571500</xdr:colOff>
      <xdr:row>34</xdr:row>
      <xdr:rowOff>0</xdr:rowOff>
    </xdr:to>
    <xdr:graphicFrame>
      <xdr:nvGraphicFramePr>
        <xdr:cNvPr id="71" name="Chart 71"/>
        <xdr:cNvGraphicFramePr/>
      </xdr:nvGraphicFramePr>
      <xdr:xfrm>
        <a:off x="219075" y="5924550"/>
        <a:ext cx="8391525" cy="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0</xdr:col>
      <xdr:colOff>152400</xdr:colOff>
      <xdr:row>34</xdr:row>
      <xdr:rowOff>0</xdr:rowOff>
    </xdr:from>
    <xdr:to>
      <xdr:col>13</xdr:col>
      <xdr:colOff>466725</xdr:colOff>
      <xdr:row>34</xdr:row>
      <xdr:rowOff>0</xdr:rowOff>
    </xdr:to>
    <xdr:graphicFrame>
      <xdr:nvGraphicFramePr>
        <xdr:cNvPr id="72" name="Chart 72"/>
        <xdr:cNvGraphicFramePr/>
      </xdr:nvGraphicFramePr>
      <xdr:xfrm>
        <a:off x="152400" y="5924550"/>
        <a:ext cx="8353425" cy="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0</xdr:col>
      <xdr:colOff>161925</xdr:colOff>
      <xdr:row>34</xdr:row>
      <xdr:rowOff>0</xdr:rowOff>
    </xdr:from>
    <xdr:to>
      <xdr:col>13</xdr:col>
      <xdr:colOff>581025</xdr:colOff>
      <xdr:row>34</xdr:row>
      <xdr:rowOff>0</xdr:rowOff>
    </xdr:to>
    <xdr:graphicFrame>
      <xdr:nvGraphicFramePr>
        <xdr:cNvPr id="73" name="Chart 73"/>
        <xdr:cNvGraphicFramePr/>
      </xdr:nvGraphicFramePr>
      <xdr:xfrm>
        <a:off x="161925" y="5924550"/>
        <a:ext cx="8458200" cy="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0</xdr:col>
      <xdr:colOff>180975</xdr:colOff>
      <xdr:row>34</xdr:row>
      <xdr:rowOff>0</xdr:rowOff>
    </xdr:from>
    <xdr:to>
      <xdr:col>13</xdr:col>
      <xdr:colOff>523875</xdr:colOff>
      <xdr:row>34</xdr:row>
      <xdr:rowOff>0</xdr:rowOff>
    </xdr:to>
    <xdr:graphicFrame>
      <xdr:nvGraphicFramePr>
        <xdr:cNvPr id="74" name="Chart 74"/>
        <xdr:cNvGraphicFramePr/>
      </xdr:nvGraphicFramePr>
      <xdr:xfrm>
        <a:off x="180975" y="5924550"/>
        <a:ext cx="8382000" cy="0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0</xdr:col>
      <xdr:colOff>180975</xdr:colOff>
      <xdr:row>34</xdr:row>
      <xdr:rowOff>0</xdr:rowOff>
    </xdr:from>
    <xdr:to>
      <xdr:col>13</xdr:col>
      <xdr:colOff>552450</xdr:colOff>
      <xdr:row>34</xdr:row>
      <xdr:rowOff>0</xdr:rowOff>
    </xdr:to>
    <xdr:graphicFrame>
      <xdr:nvGraphicFramePr>
        <xdr:cNvPr id="75" name="Chart 75"/>
        <xdr:cNvGraphicFramePr/>
      </xdr:nvGraphicFramePr>
      <xdr:xfrm>
        <a:off x="180975" y="5924550"/>
        <a:ext cx="8410575" cy="0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  <xdr:twoCellAnchor>
    <xdr:from>
      <xdr:col>0</xdr:col>
      <xdr:colOff>200025</xdr:colOff>
      <xdr:row>34</xdr:row>
      <xdr:rowOff>0</xdr:rowOff>
    </xdr:from>
    <xdr:to>
      <xdr:col>13</xdr:col>
      <xdr:colOff>552450</xdr:colOff>
      <xdr:row>34</xdr:row>
      <xdr:rowOff>0</xdr:rowOff>
    </xdr:to>
    <xdr:graphicFrame>
      <xdr:nvGraphicFramePr>
        <xdr:cNvPr id="76" name="Chart 76"/>
        <xdr:cNvGraphicFramePr/>
      </xdr:nvGraphicFramePr>
      <xdr:xfrm>
        <a:off x="200025" y="5924550"/>
        <a:ext cx="8391525" cy="0"/>
      </xdr:xfrm>
      <a:graphic>
        <a:graphicData uri="http://schemas.openxmlformats.org/drawingml/2006/chart">
          <c:chart xmlns:c="http://schemas.openxmlformats.org/drawingml/2006/chart" r:id="rId76"/>
        </a:graphicData>
      </a:graphic>
    </xdr:graphicFrame>
    <xdr:clientData/>
  </xdr:twoCellAnchor>
  <xdr:twoCellAnchor>
    <xdr:from>
      <xdr:col>0</xdr:col>
      <xdr:colOff>209550</xdr:colOff>
      <xdr:row>34</xdr:row>
      <xdr:rowOff>0</xdr:rowOff>
    </xdr:from>
    <xdr:to>
      <xdr:col>13</xdr:col>
      <xdr:colOff>581025</xdr:colOff>
      <xdr:row>34</xdr:row>
      <xdr:rowOff>0</xdr:rowOff>
    </xdr:to>
    <xdr:graphicFrame>
      <xdr:nvGraphicFramePr>
        <xdr:cNvPr id="77" name="Chart 77"/>
        <xdr:cNvGraphicFramePr/>
      </xdr:nvGraphicFramePr>
      <xdr:xfrm>
        <a:off x="209550" y="5924550"/>
        <a:ext cx="8410575" cy="0"/>
      </xdr:xfrm>
      <a:graphic>
        <a:graphicData uri="http://schemas.openxmlformats.org/drawingml/2006/chart">
          <c:chart xmlns:c="http://schemas.openxmlformats.org/drawingml/2006/chart" r:id="rId77"/>
        </a:graphicData>
      </a:graphic>
    </xdr:graphicFrame>
    <xdr:clientData/>
  </xdr:twoCellAnchor>
  <xdr:twoCellAnchor>
    <xdr:from>
      <xdr:col>0</xdr:col>
      <xdr:colOff>219075</xdr:colOff>
      <xdr:row>34</xdr:row>
      <xdr:rowOff>0</xdr:rowOff>
    </xdr:from>
    <xdr:to>
      <xdr:col>13</xdr:col>
      <xdr:colOff>561975</xdr:colOff>
      <xdr:row>34</xdr:row>
      <xdr:rowOff>0</xdr:rowOff>
    </xdr:to>
    <xdr:graphicFrame>
      <xdr:nvGraphicFramePr>
        <xdr:cNvPr id="78" name="Chart 78"/>
        <xdr:cNvGraphicFramePr/>
      </xdr:nvGraphicFramePr>
      <xdr:xfrm>
        <a:off x="219075" y="5924550"/>
        <a:ext cx="8382000" cy="0"/>
      </xdr:xfrm>
      <a:graphic>
        <a:graphicData uri="http://schemas.openxmlformats.org/drawingml/2006/chart">
          <c:chart xmlns:c="http://schemas.openxmlformats.org/drawingml/2006/chart" r:id="rId7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9</xdr:row>
      <xdr:rowOff>28575</xdr:rowOff>
    </xdr:from>
    <xdr:to>
      <xdr:col>13</xdr:col>
      <xdr:colOff>295275</xdr:colOff>
      <xdr:row>34</xdr:row>
      <xdr:rowOff>114300</xdr:rowOff>
    </xdr:to>
    <xdr:graphicFrame>
      <xdr:nvGraphicFramePr>
        <xdr:cNvPr id="1" name="Chart 7"/>
        <xdr:cNvGraphicFramePr/>
      </xdr:nvGraphicFramePr>
      <xdr:xfrm>
        <a:off x="123825" y="1714500"/>
        <a:ext cx="83058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2</xdr:row>
      <xdr:rowOff>28575</xdr:rowOff>
    </xdr:from>
    <xdr:to>
      <xdr:col>14</xdr:col>
      <xdr:colOff>9525</xdr:colOff>
      <xdr:row>27</xdr:row>
      <xdr:rowOff>123825</xdr:rowOff>
    </xdr:to>
    <xdr:graphicFrame>
      <xdr:nvGraphicFramePr>
        <xdr:cNvPr id="1" name="Chart 3"/>
        <xdr:cNvGraphicFramePr/>
      </xdr:nvGraphicFramePr>
      <xdr:xfrm>
        <a:off x="5514975" y="352425"/>
        <a:ext cx="30289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oligeomet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őlap"/>
      <sheetName val="mérettábla"/>
      <sheetName val="hajótest"/>
      <sheetName val="vízvonalak"/>
      <sheetName val="bordák"/>
      <sheetName val="hosszmetszetek"/>
      <sheetName val="jellemzők"/>
    </sheetNames>
    <sheetDataSet>
      <sheetData sheetId="3">
        <row r="3">
          <cell r="B3" t="str">
            <v>far, 0</v>
          </cell>
          <cell r="C3">
            <v>1</v>
          </cell>
          <cell r="D3">
            <v>2</v>
          </cell>
          <cell r="E3">
            <v>3</v>
          </cell>
          <cell r="F3">
            <v>4</v>
          </cell>
          <cell r="G3">
            <v>5</v>
          </cell>
          <cell r="H3">
            <v>6</v>
          </cell>
          <cell r="I3">
            <v>7</v>
          </cell>
          <cell r="J3">
            <v>8</v>
          </cell>
          <cell r="K3">
            <v>9</v>
          </cell>
          <cell r="L3" t="str">
            <v>10, tőke</v>
          </cell>
        </row>
        <row r="5">
          <cell r="B5">
            <v>0.03</v>
          </cell>
          <cell r="C5">
            <v>0.03</v>
          </cell>
          <cell r="D5">
            <v>0.03</v>
          </cell>
          <cell r="E5">
            <v>0.03</v>
          </cell>
          <cell r="F5">
            <v>0.03</v>
          </cell>
          <cell r="G5">
            <v>0.03</v>
          </cell>
          <cell r="H5">
            <v>0.03</v>
          </cell>
          <cell r="I5">
            <v>0.03</v>
          </cell>
          <cell r="J5">
            <v>0.03</v>
          </cell>
          <cell r="K5">
            <v>0.03</v>
          </cell>
          <cell r="L5">
            <v>0</v>
          </cell>
        </row>
        <row r="17">
          <cell r="B17" t="str">
            <v>far, 0</v>
          </cell>
          <cell r="C17">
            <v>1</v>
          </cell>
          <cell r="D17">
            <v>2</v>
          </cell>
          <cell r="E17">
            <v>3</v>
          </cell>
          <cell r="F17">
            <v>4</v>
          </cell>
          <cell r="G17">
            <v>5</v>
          </cell>
          <cell r="H17">
            <v>6</v>
          </cell>
          <cell r="I17">
            <v>7</v>
          </cell>
          <cell r="J17">
            <v>8</v>
          </cell>
          <cell r="K17">
            <v>9</v>
          </cell>
          <cell r="L17" t="str">
            <v>10, tőke</v>
          </cell>
        </row>
        <row r="19">
          <cell r="B19">
            <v>0.03</v>
          </cell>
          <cell r="C19">
            <v>0.03</v>
          </cell>
          <cell r="D19">
            <v>0.03</v>
          </cell>
          <cell r="E19">
            <v>0.03</v>
          </cell>
          <cell r="F19">
            <v>0.052</v>
          </cell>
          <cell r="G19">
            <v>0.076</v>
          </cell>
          <cell r="H19">
            <v>0.075</v>
          </cell>
          <cell r="I19">
            <v>0.074</v>
          </cell>
          <cell r="J19">
            <v>0.065</v>
          </cell>
          <cell r="K19">
            <v>0.047</v>
          </cell>
          <cell r="L19">
            <v>0.03</v>
          </cell>
        </row>
        <row r="39">
          <cell r="B39" t="str">
            <v>far, 0</v>
          </cell>
          <cell r="C39">
            <v>1</v>
          </cell>
          <cell r="D39">
            <v>2</v>
          </cell>
          <cell r="E39">
            <v>3</v>
          </cell>
          <cell r="F39">
            <v>4</v>
          </cell>
          <cell r="G39">
            <v>5</v>
          </cell>
          <cell r="H39">
            <v>6</v>
          </cell>
          <cell r="I39">
            <v>7</v>
          </cell>
          <cell r="J39">
            <v>8</v>
          </cell>
          <cell r="K39">
            <v>9</v>
          </cell>
          <cell r="L39" t="str">
            <v>10, tőke</v>
          </cell>
        </row>
        <row r="41">
          <cell r="B41">
            <v>0.03</v>
          </cell>
          <cell r="C41">
            <v>0.03</v>
          </cell>
          <cell r="D41">
            <v>0.03</v>
          </cell>
          <cell r="E41">
            <v>0.1</v>
          </cell>
          <cell r="F41">
            <v>0.162</v>
          </cell>
          <cell r="G41">
            <v>0.185</v>
          </cell>
          <cell r="H41">
            <v>0.187</v>
          </cell>
          <cell r="I41">
            <v>0.182</v>
          </cell>
          <cell r="J41">
            <v>0.146</v>
          </cell>
          <cell r="K41">
            <v>0.089</v>
          </cell>
          <cell r="L41">
            <v>0.03</v>
          </cell>
        </row>
        <row r="55">
          <cell r="B55" t="str">
            <v>far, 0</v>
          </cell>
          <cell r="C55">
            <v>1</v>
          </cell>
          <cell r="D55">
            <v>2</v>
          </cell>
          <cell r="E55">
            <v>3</v>
          </cell>
          <cell r="F55">
            <v>4</v>
          </cell>
          <cell r="G55">
            <v>5</v>
          </cell>
          <cell r="H55">
            <v>6</v>
          </cell>
          <cell r="I55">
            <v>7</v>
          </cell>
          <cell r="J55">
            <v>8</v>
          </cell>
          <cell r="K55">
            <v>9</v>
          </cell>
          <cell r="L55" t="str">
            <v>10, tőke</v>
          </cell>
        </row>
        <row r="57">
          <cell r="B57">
            <v>0.03</v>
          </cell>
          <cell r="C57">
            <v>0.03</v>
          </cell>
          <cell r="D57">
            <v>0.105</v>
          </cell>
          <cell r="E57">
            <v>0.216</v>
          </cell>
          <cell r="F57">
            <v>0.272</v>
          </cell>
          <cell r="G57">
            <v>0.295</v>
          </cell>
          <cell r="H57">
            <v>0.289</v>
          </cell>
          <cell r="I57">
            <v>0.271</v>
          </cell>
          <cell r="J57">
            <v>0.213</v>
          </cell>
          <cell r="K57">
            <v>0.124</v>
          </cell>
          <cell r="L57">
            <v>0.03</v>
          </cell>
        </row>
        <row r="76">
          <cell r="B76" t="str">
            <v>far, 0</v>
          </cell>
          <cell r="C76">
            <v>1</v>
          </cell>
          <cell r="D76">
            <v>2</v>
          </cell>
          <cell r="E76">
            <v>3</v>
          </cell>
          <cell r="F76">
            <v>4</v>
          </cell>
          <cell r="G76">
            <v>5</v>
          </cell>
          <cell r="H76">
            <v>6</v>
          </cell>
          <cell r="I76">
            <v>7</v>
          </cell>
          <cell r="J76">
            <v>8</v>
          </cell>
          <cell r="K76">
            <v>9</v>
          </cell>
          <cell r="L76" t="str">
            <v>10, tőke</v>
          </cell>
        </row>
        <row r="78">
          <cell r="B78">
            <v>0.03</v>
          </cell>
          <cell r="C78">
            <v>0.054</v>
          </cell>
          <cell r="D78">
            <v>0.236</v>
          </cell>
          <cell r="E78">
            <v>0.326</v>
          </cell>
          <cell r="F78">
            <v>0.366</v>
          </cell>
          <cell r="G78">
            <v>0.38</v>
          </cell>
          <cell r="H78">
            <v>0.371</v>
          </cell>
          <cell r="I78">
            <v>0.335</v>
          </cell>
          <cell r="J78">
            <v>0.258</v>
          </cell>
          <cell r="K78">
            <v>0.157</v>
          </cell>
          <cell r="L78">
            <v>0.03</v>
          </cell>
        </row>
        <row r="95">
          <cell r="B95" t="str">
            <v>far, 0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>
            <v>5</v>
          </cell>
          <cell r="H95">
            <v>6</v>
          </cell>
          <cell r="I95">
            <v>7</v>
          </cell>
          <cell r="J95">
            <v>8</v>
          </cell>
          <cell r="K95">
            <v>9</v>
          </cell>
          <cell r="L95" t="str">
            <v>10, tőke</v>
          </cell>
        </row>
        <row r="97">
          <cell r="B97">
            <v>0.03</v>
          </cell>
          <cell r="C97">
            <v>0.198</v>
          </cell>
          <cell r="D97">
            <v>0.342</v>
          </cell>
          <cell r="E97">
            <v>0.39</v>
          </cell>
          <cell r="F97">
            <v>0.417</v>
          </cell>
          <cell r="G97">
            <v>0.424</v>
          </cell>
          <cell r="H97">
            <v>0.409</v>
          </cell>
          <cell r="I97">
            <v>0.373</v>
          </cell>
          <cell r="J97">
            <v>0.297</v>
          </cell>
          <cell r="K97">
            <v>0.185</v>
          </cell>
          <cell r="L97">
            <v>0.03</v>
          </cell>
        </row>
        <row r="113">
          <cell r="B113" t="str">
            <v>far, 0</v>
          </cell>
          <cell r="C113">
            <v>1</v>
          </cell>
          <cell r="D113">
            <v>2</v>
          </cell>
          <cell r="E113">
            <v>3</v>
          </cell>
          <cell r="F113">
            <v>4</v>
          </cell>
          <cell r="G113">
            <v>5</v>
          </cell>
          <cell r="H113">
            <v>6</v>
          </cell>
          <cell r="I113">
            <v>7</v>
          </cell>
          <cell r="J113">
            <v>8</v>
          </cell>
          <cell r="K113">
            <v>9</v>
          </cell>
          <cell r="L113" t="str">
            <v>10, tőke</v>
          </cell>
        </row>
        <row r="115">
          <cell r="B115">
            <v>0.101</v>
          </cell>
          <cell r="C115">
            <v>0.318</v>
          </cell>
          <cell r="D115">
            <v>0.382</v>
          </cell>
          <cell r="E115">
            <v>0.415</v>
          </cell>
          <cell r="F115">
            <v>0.434</v>
          </cell>
          <cell r="G115">
            <v>0.441</v>
          </cell>
          <cell r="H115">
            <v>0.428</v>
          </cell>
          <cell r="I115">
            <v>0.394</v>
          </cell>
          <cell r="J115">
            <v>0.324</v>
          </cell>
          <cell r="K115">
            <v>0.21</v>
          </cell>
          <cell r="L115">
            <v>0.03</v>
          </cell>
        </row>
        <row r="186">
          <cell r="B186" t="str">
            <v>far, 0</v>
          </cell>
          <cell r="C186">
            <v>1</v>
          </cell>
          <cell r="D186">
            <v>2</v>
          </cell>
          <cell r="E186">
            <v>3</v>
          </cell>
          <cell r="F186">
            <v>4</v>
          </cell>
          <cell r="G186">
            <v>5</v>
          </cell>
          <cell r="H186">
            <v>6</v>
          </cell>
          <cell r="I186">
            <v>7</v>
          </cell>
          <cell r="J186">
            <v>8</v>
          </cell>
          <cell r="K186">
            <v>9</v>
          </cell>
          <cell r="L186" t="str">
            <v>10, tőke</v>
          </cell>
        </row>
        <row r="188">
          <cell r="B188">
            <v>0.315</v>
          </cell>
          <cell r="C188">
            <v>0.361</v>
          </cell>
          <cell r="D188">
            <v>0.399</v>
          </cell>
          <cell r="E188">
            <v>0.425</v>
          </cell>
          <cell r="F188">
            <v>0.442</v>
          </cell>
          <cell r="G188">
            <v>0.449</v>
          </cell>
          <cell r="H188">
            <v>0.44</v>
          </cell>
          <cell r="I188">
            <v>0.416</v>
          </cell>
          <cell r="J188">
            <v>0.356</v>
          </cell>
          <cell r="K188">
            <v>0.238</v>
          </cell>
          <cell r="L188">
            <v>0.03</v>
          </cell>
        </row>
        <row r="224">
          <cell r="B224" t="str">
            <v>far, 0</v>
          </cell>
          <cell r="C224">
            <v>1</v>
          </cell>
          <cell r="D224">
            <v>2</v>
          </cell>
          <cell r="E224">
            <v>3</v>
          </cell>
          <cell r="F224">
            <v>4</v>
          </cell>
          <cell r="G224">
            <v>5</v>
          </cell>
          <cell r="H224">
            <v>6</v>
          </cell>
          <cell r="I224">
            <v>7</v>
          </cell>
          <cell r="J224">
            <v>8</v>
          </cell>
          <cell r="K224">
            <v>9</v>
          </cell>
          <cell r="L224" t="str">
            <v>10, tőke</v>
          </cell>
        </row>
        <row r="226">
          <cell r="B226">
            <v>0.322</v>
          </cell>
          <cell r="C226">
            <v>0.363</v>
          </cell>
          <cell r="D226">
            <v>0.4</v>
          </cell>
          <cell r="E226">
            <v>0.426</v>
          </cell>
          <cell r="F226">
            <v>0.444</v>
          </cell>
          <cell r="G226">
            <v>0.45</v>
          </cell>
          <cell r="H226">
            <v>0.443</v>
          </cell>
          <cell r="I226">
            <v>0.42</v>
          </cell>
          <cell r="J226">
            <v>0.363</v>
          </cell>
          <cell r="K226">
            <v>0.246</v>
          </cell>
          <cell r="L226">
            <v>0.03</v>
          </cell>
        </row>
        <row r="262">
          <cell r="B262" t="str">
            <v>far, 0</v>
          </cell>
          <cell r="C262">
            <v>1</v>
          </cell>
          <cell r="D262">
            <v>2</v>
          </cell>
          <cell r="E262">
            <v>3</v>
          </cell>
          <cell r="F262">
            <v>4</v>
          </cell>
          <cell r="G262">
            <v>5</v>
          </cell>
          <cell r="H262">
            <v>6</v>
          </cell>
          <cell r="I262">
            <v>7</v>
          </cell>
          <cell r="J262">
            <v>8</v>
          </cell>
          <cell r="K262">
            <v>9</v>
          </cell>
          <cell r="L262" t="str">
            <v>10, tőke</v>
          </cell>
        </row>
        <row r="264">
          <cell r="B264">
            <v>0.322</v>
          </cell>
          <cell r="C264">
            <v>0.364</v>
          </cell>
          <cell r="D264">
            <v>0.4</v>
          </cell>
          <cell r="E264">
            <v>0.426</v>
          </cell>
          <cell r="F264">
            <v>0.444</v>
          </cell>
          <cell r="G264">
            <v>0.45</v>
          </cell>
          <cell r="H264">
            <v>0.445</v>
          </cell>
          <cell r="I264">
            <v>0.422</v>
          </cell>
          <cell r="J264">
            <v>0.37</v>
          </cell>
          <cell r="K264">
            <v>0.251</v>
          </cell>
          <cell r="L264">
            <v>0.03</v>
          </cell>
        </row>
      </sheetData>
      <sheetData sheetId="6">
        <row r="317">
          <cell r="B317">
            <v>0.2813</v>
          </cell>
          <cell r="C317">
            <v>0.25285964000000005</v>
          </cell>
          <cell r="D317">
            <v>-0.08051</v>
          </cell>
          <cell r="E317">
            <v>0.19136466690476975</v>
          </cell>
          <cell r="F317">
            <v>-0.009572058237526547</v>
          </cell>
          <cell r="G317">
            <v>0.536852780389389</v>
          </cell>
          <cell r="H317">
            <v>2.2499051670212213</v>
          </cell>
        </row>
        <row r="318">
          <cell r="B318">
            <v>0.25</v>
          </cell>
          <cell r="C318">
            <v>0.20245499999999997</v>
          </cell>
          <cell r="D318">
            <v>-0.08097</v>
          </cell>
          <cell r="E318">
            <v>0.17282944851942408</v>
          </cell>
          <cell r="F318">
            <v>0.008235805487639225</v>
          </cell>
          <cell r="G318">
            <v>0.5856619298115632</v>
          </cell>
          <cell r="H318">
            <v>2.6506781497493965</v>
          </cell>
        </row>
        <row r="319">
          <cell r="B319">
            <v>0.2188</v>
          </cell>
          <cell r="C319">
            <v>0.15408635</v>
          </cell>
          <cell r="D319">
            <v>-0.05872</v>
          </cell>
          <cell r="E319">
            <v>0.15337754810124324</v>
          </cell>
          <cell r="F319">
            <v>0.03195578193655697</v>
          </cell>
          <cell r="G319">
            <v>0.6390792342012774</v>
          </cell>
          <cell r="H319">
            <v>2.9065548706397806</v>
          </cell>
        </row>
        <row r="320">
          <cell r="B320">
            <v>0.1875</v>
          </cell>
          <cell r="C320">
            <v>0.10956044000000001</v>
          </cell>
          <cell r="D320">
            <v>-0.01644</v>
          </cell>
          <cell r="E320">
            <v>0.13282048086955472</v>
          </cell>
          <cell r="F320">
            <v>0.05958309404379901</v>
          </cell>
          <cell r="G320">
            <v>0.6799157645321614</v>
          </cell>
          <cell r="H320">
            <v>3.3380422655122595</v>
          </cell>
        </row>
        <row r="321">
          <cell r="B321">
            <v>0.1563</v>
          </cell>
          <cell r="C321">
            <v>0.07121158</v>
          </cell>
          <cell r="D321">
            <v>0.04386</v>
          </cell>
          <cell r="E321">
            <v>0.11095589387961903</v>
          </cell>
          <cell r="F321">
            <v>0.08589467050162347</v>
          </cell>
          <cell r="G321">
            <v>0.6496323282460521</v>
          </cell>
          <cell r="H321">
            <v>3.655645210958218</v>
          </cell>
        </row>
        <row r="322">
          <cell r="B322">
            <v>0.125</v>
          </cell>
          <cell r="C322">
            <v>0.041250440000000006</v>
          </cell>
          <cell r="D322">
            <v>0.09861</v>
          </cell>
          <cell r="E322">
            <v>0.08766689924907464</v>
          </cell>
          <cell r="F322">
            <v>0.09958560442021948</v>
          </cell>
          <cell r="G322">
            <v>0.48838989759769824</v>
          </cell>
          <cell r="H322">
            <v>4.328497104241312</v>
          </cell>
        </row>
        <row r="323">
          <cell r="B323">
            <v>0.0938</v>
          </cell>
          <cell r="C323">
            <v>0.020721580000000003</v>
          </cell>
          <cell r="D323">
            <v>0.14904</v>
          </cell>
          <cell r="E323">
            <v>0.06251034971174979</v>
          </cell>
          <cell r="F323">
            <v>0.08146089246090304</v>
          </cell>
          <cell r="G323">
            <v>0.26085429838747815</v>
          </cell>
          <cell r="H323">
            <v>5.397925160741409</v>
          </cell>
        </row>
        <row r="324">
          <cell r="B324">
            <v>0.0625</v>
          </cell>
          <cell r="C324">
            <v>0.009377719999999999</v>
          </cell>
          <cell r="D324">
            <v>0.12275</v>
          </cell>
          <cell r="E324">
            <v>0.03638223610003284</v>
          </cell>
          <cell r="F324">
            <v>0.009517196077511388</v>
          </cell>
          <cell r="G324">
            <v>0.06624023996451163</v>
          </cell>
          <cell r="H324">
            <v>7.352176341970117</v>
          </cell>
        </row>
        <row r="325">
          <cell r="B325">
            <v>0</v>
          </cell>
          <cell r="C325">
            <v>0</v>
          </cell>
          <cell r="D325">
            <v>-0.05789</v>
          </cell>
          <cell r="E325">
            <v>0</v>
          </cell>
          <cell r="F325">
            <v>-0.05789</v>
          </cell>
          <cell r="G325">
            <v>0</v>
          </cell>
        </row>
        <row r="327">
          <cell r="B327">
            <v>0.2813</v>
          </cell>
          <cell r="C327">
            <v>0.01668040180401804</v>
          </cell>
          <cell r="D327">
            <v>0.002425158431952217</v>
          </cell>
          <cell r="E327">
            <v>-0.0006104268860188601</v>
          </cell>
          <cell r="F327">
            <v>0.4549993388950601</v>
          </cell>
          <cell r="G327">
            <v>0.622879614769797</v>
          </cell>
          <cell r="H327">
            <v>0.7304771710392515</v>
          </cell>
          <cell r="I327">
            <v>2.3795540000000006</v>
          </cell>
        </row>
        <row r="328">
          <cell r="B328">
            <v>0.25</v>
          </cell>
          <cell r="C328">
            <v>0.016364698646986472</v>
          </cell>
          <cell r="D328">
            <v>0.0023372462739895536</v>
          </cell>
          <cell r="E328">
            <v>-0.000602295295202952</v>
          </cell>
          <cell r="F328">
            <v>0.41174496644295294</v>
          </cell>
          <cell r="G328">
            <v>0.5785234899328859</v>
          </cell>
          <cell r="H328">
            <v>0.7117169373549882</v>
          </cell>
          <cell r="I328">
            <v>2.20694</v>
          </cell>
        </row>
        <row r="329">
          <cell r="B329">
            <v>0.2188</v>
          </cell>
          <cell r="C329">
            <v>0.015318368183681836</v>
          </cell>
          <cell r="D329">
            <v>0.0019765123665729744</v>
          </cell>
          <cell r="E329">
            <v>-0.0004088611726117261</v>
          </cell>
          <cell r="F329">
            <v>0.3629322691904306</v>
          </cell>
          <cell r="G329">
            <v>0.5264439718605297</v>
          </cell>
          <cell r="H329">
            <v>0.6894034096501762</v>
          </cell>
          <cell r="I329">
            <v>2.016217</v>
          </cell>
        </row>
        <row r="330">
          <cell r="B330">
            <v>0.1875</v>
          </cell>
          <cell r="C330">
            <v>0.01382328823288233</v>
          </cell>
          <cell r="D330">
            <v>0.0016361120306755271</v>
          </cell>
          <cell r="E330">
            <v>-0.00010329766297662977</v>
          </cell>
          <cell r="F330">
            <v>0.31320880503144655</v>
          </cell>
          <cell r="G330">
            <v>0.4689496855345912</v>
          </cell>
          <cell r="H330">
            <v>0.6678942639110551</v>
          </cell>
          <cell r="I330">
            <v>1.791568</v>
          </cell>
        </row>
        <row r="331">
          <cell r="B331">
            <v>0.1563</v>
          </cell>
          <cell r="C331">
            <v>0.011333743337433375</v>
          </cell>
          <cell r="D331">
            <v>0.0011760613638647508</v>
          </cell>
          <cell r="E331">
            <v>0.00022595362853628537</v>
          </cell>
          <cell r="F331">
            <v>0.27249301276223187</v>
          </cell>
          <cell r="G331">
            <v>0.41618682021753045</v>
          </cell>
          <cell r="H331">
            <v>0.6547372466523725</v>
          </cell>
          <cell r="I331">
            <v>1.495658</v>
          </cell>
        </row>
        <row r="332">
          <cell r="B332">
            <v>0.125</v>
          </cell>
          <cell r="C332">
            <v>0.008321033210332103</v>
          </cell>
          <cell r="D332">
            <v>0.0008150432487238659</v>
          </cell>
          <cell r="E332">
            <v>0.0003729714022140221</v>
          </cell>
          <cell r="F332">
            <v>0.25424</v>
          </cell>
          <cell r="G332">
            <v>0.3843254237288136</v>
          </cell>
          <cell r="H332">
            <v>0.6615227208580299</v>
          </cell>
          <cell r="I332">
            <v>1.1535480000000002</v>
          </cell>
        </row>
        <row r="333">
          <cell r="B333">
            <v>0.0938</v>
          </cell>
          <cell r="C333">
            <v>0.0051459614596145965</v>
          </cell>
          <cell r="D333">
            <v>0.0005151008202769745</v>
          </cell>
          <cell r="E333">
            <v>0.00034861549815498155</v>
          </cell>
          <cell r="F333">
            <v>0.26848853516983456</v>
          </cell>
          <cell r="G333">
            <v>0.38037467361435756</v>
          </cell>
          <cell r="H333">
            <v>0.7058528177458033</v>
          </cell>
          <cell r="I333">
            <v>0.791638</v>
          </cell>
        </row>
        <row r="334">
          <cell r="B334">
            <v>0.0625</v>
          </cell>
          <cell r="C334">
            <v>0.002295612956129561</v>
          </cell>
          <cell r="D334">
            <v>0.00031963911554573865</v>
          </cell>
          <cell r="E334">
            <v>0.00012808476834768345</v>
          </cell>
          <cell r="F334">
            <v>0.4486947368421052</v>
          </cell>
          <cell r="G334">
            <v>0.5461052631578948</v>
          </cell>
          <cell r="H334">
            <v>0.8216268311488047</v>
          </cell>
          <cell r="I334">
            <v>0.4506321799999999</v>
          </cell>
        </row>
        <row r="335">
          <cell r="B335">
            <v>0</v>
          </cell>
          <cell r="C335">
            <v>0.0012853628536285363</v>
          </cell>
          <cell r="D335">
            <v>0.002425158431952217</v>
          </cell>
          <cell r="E335">
            <v>-3.3822570725707256E-05</v>
          </cell>
          <cell r="F335">
            <v>0.95</v>
          </cell>
          <cell r="G335">
            <v>1</v>
          </cell>
          <cell r="H335">
            <v>0.95</v>
          </cell>
          <cell r="I335">
            <v>0.1254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2.7109375" style="0" customWidth="1"/>
    <col min="2" max="2" width="73.421875" style="0" customWidth="1"/>
  </cols>
  <sheetData>
    <row r="1" spans="1:2" ht="30" customHeight="1">
      <c r="A1" s="39" t="s">
        <v>225</v>
      </c>
      <c r="B1" s="1"/>
    </row>
    <row r="2" spans="1:2" ht="408.75" customHeight="1">
      <c r="A2" s="40" t="s">
        <v>224</v>
      </c>
      <c r="B2" s="40" t="s">
        <v>226</v>
      </c>
    </row>
  </sheetData>
  <printOptions/>
  <pageMargins left="0.75" right="0.75" top="1" bottom="1" header="0.5" footer="0.5"/>
  <pageSetup horizontalDpi="240" verticalDpi="24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33">
      <selection activeCell="A1" sqref="A1"/>
    </sheetView>
  </sheetViews>
  <sheetFormatPr defaultColWidth="9.140625" defaultRowHeight="12.75"/>
  <sheetData>
    <row r="1" spans="1:14" ht="12.75">
      <c r="A1" s="113" t="s">
        <v>257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56" t="s">
        <v>215</v>
      </c>
      <c r="B2" s="56"/>
      <c r="C2" s="8" t="s">
        <v>217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9" ht="14.25">
      <c r="A3" t="s">
        <v>214</v>
      </c>
      <c r="C3" s="54">
        <v>0</v>
      </c>
      <c r="D3" s="54">
        <v>2</v>
      </c>
      <c r="E3" s="54">
        <v>4</v>
      </c>
      <c r="F3" s="54">
        <v>6</v>
      </c>
      <c r="G3" s="54">
        <v>8</v>
      </c>
      <c r="H3" s="54">
        <v>10</v>
      </c>
      <c r="I3" s="54">
        <v>12</v>
      </c>
    </row>
    <row r="4" spans="1:9" ht="12.75">
      <c r="A4" t="s">
        <v>216</v>
      </c>
      <c r="C4" s="74">
        <v>0</v>
      </c>
      <c r="D4" s="74">
        <v>0</v>
      </c>
      <c r="E4" s="74">
        <v>0</v>
      </c>
      <c r="F4" s="74">
        <v>0</v>
      </c>
      <c r="G4" s="74">
        <v>0</v>
      </c>
      <c r="H4" s="74">
        <v>0</v>
      </c>
      <c r="I4" s="74">
        <v>0</v>
      </c>
    </row>
    <row r="6" spans="1:5" ht="12.75">
      <c r="A6" s="56" t="s">
        <v>215</v>
      </c>
      <c r="B6" s="56"/>
      <c r="C6" s="8" t="s">
        <v>218</v>
      </c>
      <c r="D6" s="56"/>
      <c r="E6" s="56"/>
    </row>
    <row r="7" spans="1:9" ht="14.25">
      <c r="A7" t="s">
        <v>214</v>
      </c>
      <c r="C7" s="54">
        <v>0</v>
      </c>
      <c r="D7" s="54">
        <v>2</v>
      </c>
      <c r="E7" s="54">
        <v>4</v>
      </c>
      <c r="F7" s="54">
        <v>6</v>
      </c>
      <c r="G7" s="54">
        <v>8</v>
      </c>
      <c r="H7" s="54">
        <v>10</v>
      </c>
      <c r="I7" s="54">
        <v>12</v>
      </c>
    </row>
    <row r="8" spans="1:9" ht="12.75">
      <c r="A8" t="s">
        <v>216</v>
      </c>
      <c r="C8" s="74"/>
      <c r="D8" s="74">
        <v>0.2137</v>
      </c>
      <c r="E8" s="74">
        <v>0.2015</v>
      </c>
      <c r="F8">
        <v>0.186</v>
      </c>
      <c r="G8" s="74">
        <v>0.1665</v>
      </c>
      <c r="H8" s="74">
        <v>0.1442</v>
      </c>
      <c r="I8" s="74">
        <v>0.119</v>
      </c>
    </row>
    <row r="10" spans="1:5" ht="12.75">
      <c r="A10" s="56" t="s">
        <v>215</v>
      </c>
      <c r="B10" s="56"/>
      <c r="C10" s="8" t="s">
        <v>219</v>
      </c>
      <c r="D10" s="56"/>
      <c r="E10" s="56"/>
    </row>
    <row r="11" spans="1:9" ht="14.25">
      <c r="A11" t="s">
        <v>214</v>
      </c>
      <c r="C11" s="54">
        <v>0</v>
      </c>
      <c r="D11" s="54">
        <v>2</v>
      </c>
      <c r="E11" s="54">
        <v>4</v>
      </c>
      <c r="F11" s="54">
        <v>6</v>
      </c>
      <c r="G11" s="54">
        <v>8</v>
      </c>
      <c r="H11" s="54">
        <v>10</v>
      </c>
      <c r="I11" s="54">
        <v>12</v>
      </c>
    </row>
    <row r="12" spans="1:9" ht="12.75">
      <c r="A12" t="s">
        <v>216</v>
      </c>
      <c r="C12" s="74"/>
      <c r="D12" s="74">
        <v>0.353</v>
      </c>
      <c r="E12" s="74">
        <v>0.3282</v>
      </c>
      <c r="F12" s="74">
        <v>0.2952</v>
      </c>
      <c r="G12" s="74">
        <v>0.255</v>
      </c>
      <c r="H12" s="74">
        <v>0.2085</v>
      </c>
      <c r="I12" s="74">
        <v>0.155</v>
      </c>
    </row>
    <row r="14" spans="1:5" ht="12.75">
      <c r="A14" s="56" t="s">
        <v>215</v>
      </c>
      <c r="B14" s="56"/>
      <c r="C14" s="8" t="s">
        <v>220</v>
      </c>
      <c r="D14" s="56"/>
      <c r="E14" s="56"/>
    </row>
    <row r="15" spans="1:9" ht="14.25">
      <c r="A15" t="s">
        <v>214</v>
      </c>
      <c r="C15" s="54">
        <v>0</v>
      </c>
      <c r="D15" s="54">
        <v>2</v>
      </c>
      <c r="E15" s="54">
        <v>4</v>
      </c>
      <c r="F15" s="54">
        <v>6</v>
      </c>
      <c r="G15" s="54">
        <v>8</v>
      </c>
      <c r="H15" s="54">
        <v>10</v>
      </c>
      <c r="I15" s="54">
        <v>12</v>
      </c>
    </row>
    <row r="16" spans="1:9" ht="12.75">
      <c r="A16" t="s">
        <v>216</v>
      </c>
      <c r="C16" s="74"/>
      <c r="D16" s="74">
        <v>0.5006</v>
      </c>
      <c r="E16" s="74">
        <v>0.3881</v>
      </c>
      <c r="F16">
        <v>0.295</v>
      </c>
      <c r="G16" s="74">
        <v>0.223</v>
      </c>
      <c r="H16" s="74">
        <v>0.1657</v>
      </c>
      <c r="I16" s="74">
        <v>0.121</v>
      </c>
    </row>
    <row r="18" spans="1:5" ht="12.75">
      <c r="A18" s="56" t="s">
        <v>215</v>
      </c>
      <c r="B18" s="56"/>
      <c r="C18" s="8" t="s">
        <v>221</v>
      </c>
      <c r="D18" s="56"/>
      <c r="E18" s="56"/>
    </row>
    <row r="19" spans="1:9" ht="14.25">
      <c r="A19" t="s">
        <v>214</v>
      </c>
      <c r="C19" s="54">
        <v>0</v>
      </c>
      <c r="D19" s="54">
        <v>2</v>
      </c>
      <c r="E19" s="54">
        <v>4</v>
      </c>
      <c r="F19" s="54">
        <v>6</v>
      </c>
      <c r="G19" s="54">
        <v>8</v>
      </c>
      <c r="H19" s="54">
        <v>10</v>
      </c>
      <c r="I19" s="54">
        <v>12</v>
      </c>
    </row>
    <row r="20" spans="1:9" ht="12.75">
      <c r="A20" t="s">
        <v>216</v>
      </c>
      <c r="C20" s="74"/>
      <c r="D20" s="74">
        <v>0.55</v>
      </c>
      <c r="E20" s="74">
        <v>0.3172</v>
      </c>
      <c r="F20" s="74">
        <v>0.2082</v>
      </c>
      <c r="G20" s="74">
        <v>0.145</v>
      </c>
      <c r="H20" s="74">
        <v>0.0952</v>
      </c>
      <c r="I20" s="74">
        <v>0.055</v>
      </c>
    </row>
    <row r="22" spans="1:5" ht="12.75">
      <c r="A22" s="56" t="s">
        <v>215</v>
      </c>
      <c r="B22" s="56"/>
      <c r="C22" s="8" t="s">
        <v>222</v>
      </c>
      <c r="D22" s="56"/>
      <c r="E22" s="56"/>
    </row>
    <row r="23" spans="1:9" ht="14.25">
      <c r="A23" t="s">
        <v>214</v>
      </c>
      <c r="C23" s="54">
        <v>0</v>
      </c>
      <c r="D23" s="54">
        <v>2</v>
      </c>
      <c r="E23" s="54">
        <v>4</v>
      </c>
      <c r="F23" s="54">
        <v>6</v>
      </c>
      <c r="G23" s="54">
        <v>8</v>
      </c>
      <c r="H23" s="54">
        <v>10</v>
      </c>
      <c r="I23" s="54">
        <v>12</v>
      </c>
    </row>
    <row r="24" spans="1:9" ht="12.75">
      <c r="A24" t="s">
        <v>216</v>
      </c>
      <c r="C24" s="74"/>
      <c r="D24" s="74">
        <v>0.3742</v>
      </c>
      <c r="E24" s="74">
        <v>0.214</v>
      </c>
      <c r="F24" s="74">
        <v>0.124</v>
      </c>
      <c r="G24" s="74">
        <v>0.0627</v>
      </c>
      <c r="H24" s="74">
        <v>0.0165</v>
      </c>
      <c r="I24" s="74">
        <v>-0.024</v>
      </c>
    </row>
    <row r="26" spans="1:5" ht="12.75">
      <c r="A26" s="56" t="s">
        <v>215</v>
      </c>
      <c r="B26" s="56"/>
      <c r="C26" s="8" t="s">
        <v>223</v>
      </c>
      <c r="D26" s="56"/>
      <c r="E26" s="56"/>
    </row>
    <row r="27" spans="1:9" ht="14.25">
      <c r="A27" t="s">
        <v>214</v>
      </c>
      <c r="C27" s="54">
        <v>0</v>
      </c>
      <c r="D27" s="54">
        <v>2</v>
      </c>
      <c r="E27" s="54">
        <v>4</v>
      </c>
      <c r="F27" s="54">
        <v>6</v>
      </c>
      <c r="G27" s="54">
        <v>8</v>
      </c>
      <c r="H27" s="54">
        <v>10</v>
      </c>
      <c r="I27" s="54">
        <v>12</v>
      </c>
    </row>
    <row r="28" spans="1:9" ht="12.75">
      <c r="A28" t="s">
        <v>216</v>
      </c>
      <c r="C28" s="74"/>
      <c r="D28" s="74">
        <v>0.144</v>
      </c>
      <c r="E28" s="74">
        <v>0.033</v>
      </c>
      <c r="F28">
        <v>-0.0252</v>
      </c>
      <c r="G28" s="74">
        <v>-0.0562</v>
      </c>
      <c r="H28" s="74">
        <v>-0.0805</v>
      </c>
      <c r="I28" s="74">
        <v>-0.1</v>
      </c>
    </row>
    <row r="30" ht="12.75">
      <c r="A30" t="s">
        <v>256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A1" sqref="A1"/>
    </sheetView>
  </sheetViews>
  <sheetFormatPr defaultColWidth="9.140625" defaultRowHeight="12.75"/>
  <cols>
    <col min="1" max="1" width="125.7109375" style="0" customWidth="1"/>
  </cols>
  <sheetData>
    <row r="1" spans="1:14" ht="12.75">
      <c r="A1" s="8" t="s">
        <v>145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ht="12.75">
      <c r="A2" t="s">
        <v>146</v>
      </c>
    </row>
    <row r="3" ht="177" customHeight="1">
      <c r="A3" s="79" t="s">
        <v>210</v>
      </c>
    </row>
    <row r="4" ht="15.75">
      <c r="A4" t="s">
        <v>0</v>
      </c>
    </row>
    <row r="5" ht="12.75">
      <c r="A5" t="s">
        <v>1</v>
      </c>
    </row>
    <row r="6" ht="202.5" customHeight="1"/>
    <row r="7" ht="12.75">
      <c r="A7" t="s">
        <v>147</v>
      </c>
    </row>
    <row r="8" ht="139.5" customHeight="1"/>
    <row r="9" ht="63.75" customHeight="1"/>
    <row r="10" ht="15.75">
      <c r="A10" t="s">
        <v>148</v>
      </c>
    </row>
    <row r="11" ht="12.75">
      <c r="A11" t="s">
        <v>1</v>
      </c>
    </row>
    <row r="12" ht="202.5" customHeight="1"/>
    <row r="13" ht="12.75">
      <c r="A13" t="s">
        <v>147</v>
      </c>
    </row>
    <row r="14" ht="151.5" customHeight="1"/>
    <row r="15" ht="63.75" customHeight="1"/>
    <row r="16" ht="12.75">
      <c r="A16" t="s">
        <v>149</v>
      </c>
    </row>
    <row r="17" ht="279.75" customHeight="1"/>
    <row r="18" ht="243.75" customHeight="1"/>
    <row r="19" ht="231.75" customHeight="1"/>
  </sheetData>
  <printOptions/>
  <pageMargins left="0.75" right="0.75" top="1" bottom="1" header="0.5" footer="0.5"/>
  <pageSetup horizontalDpi="240" verticalDpi="24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workbookViewId="0" topLeftCell="A1">
      <selection activeCell="A1" sqref="A1"/>
    </sheetView>
  </sheetViews>
  <sheetFormatPr defaultColWidth="9.140625" defaultRowHeight="12.75"/>
  <cols>
    <col min="1" max="2" width="3.7109375" style="6" customWidth="1"/>
    <col min="3" max="4" width="5.7109375" style="6" customWidth="1"/>
    <col min="5" max="5" width="5.7109375" style="99" customWidth="1"/>
    <col min="6" max="10" width="5.7109375" style="6" customWidth="1"/>
    <col min="11" max="16" width="5.28125" style="6" customWidth="1"/>
    <col min="17" max="18" width="8.7109375" style="6" customWidth="1"/>
    <col min="19" max="16384" width="8.8515625" style="6" customWidth="1"/>
  </cols>
  <sheetData>
    <row r="1" spans="1:21" ht="26.25" customHeight="1">
      <c r="A1" s="80" t="s">
        <v>227</v>
      </c>
      <c r="B1" s="81"/>
      <c r="C1" s="81"/>
      <c r="D1" s="81"/>
      <c r="E1" s="82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12.75">
      <c r="A2" s="81" t="s">
        <v>150</v>
      </c>
      <c r="B2" s="81"/>
      <c r="C2" s="81"/>
      <c r="D2" s="81"/>
      <c r="E2" s="82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2.75">
      <c r="A3" s="132" t="s">
        <v>151</v>
      </c>
      <c r="B3" s="133"/>
      <c r="C3" s="83" t="s">
        <v>152</v>
      </c>
      <c r="D3" s="83"/>
      <c r="E3" s="84"/>
      <c r="F3" s="130">
        <v>0</v>
      </c>
      <c r="G3" s="130">
        <v>1</v>
      </c>
      <c r="H3" s="130">
        <v>2</v>
      </c>
      <c r="I3" s="130">
        <v>3</v>
      </c>
      <c r="J3" s="130">
        <v>4</v>
      </c>
      <c r="K3" s="130">
        <v>5</v>
      </c>
      <c r="L3" s="130">
        <v>6</v>
      </c>
      <c r="M3" s="130">
        <v>7</v>
      </c>
      <c r="N3" s="130">
        <v>8</v>
      </c>
      <c r="O3" s="130">
        <v>9</v>
      </c>
      <c r="P3" s="130">
        <v>10</v>
      </c>
      <c r="Q3" s="85" t="s">
        <v>153</v>
      </c>
      <c r="R3" s="85" t="s">
        <v>154</v>
      </c>
      <c r="S3" s="85" t="s">
        <v>155</v>
      </c>
      <c r="T3" s="85" t="s">
        <v>156</v>
      </c>
      <c r="U3" s="85" t="s">
        <v>157</v>
      </c>
    </row>
    <row r="4" spans="1:21" ht="12.75">
      <c r="A4" s="134"/>
      <c r="B4" s="135"/>
      <c r="C4" s="42" t="s">
        <v>2</v>
      </c>
      <c r="D4" s="42" t="s">
        <v>3</v>
      </c>
      <c r="E4" s="86" t="s">
        <v>4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42" t="s">
        <v>158</v>
      </c>
      <c r="R4" s="42" t="s">
        <v>158</v>
      </c>
      <c r="S4" s="42" t="s">
        <v>159</v>
      </c>
      <c r="T4" s="42" t="s">
        <v>159</v>
      </c>
      <c r="U4" s="42" t="s">
        <v>159</v>
      </c>
    </row>
    <row r="5" spans="1:22" ht="18.75" customHeight="1">
      <c r="A5" s="128" t="s">
        <v>160</v>
      </c>
      <c r="B5" s="87" t="s">
        <v>2</v>
      </c>
      <c r="C5" s="3">
        <v>1</v>
      </c>
      <c r="D5" s="5" t="s">
        <v>161</v>
      </c>
      <c r="E5" s="88" t="s">
        <v>161</v>
      </c>
      <c r="F5" s="89">
        <v>-1</v>
      </c>
      <c r="G5" s="89">
        <v>-1</v>
      </c>
      <c r="H5" s="89">
        <v>-1</v>
      </c>
      <c r="I5" s="89">
        <v>-1</v>
      </c>
      <c r="J5" s="89">
        <v>-1</v>
      </c>
      <c r="K5" s="89">
        <v>0</v>
      </c>
      <c r="L5" s="89">
        <v>1</v>
      </c>
      <c r="M5" s="89">
        <v>1</v>
      </c>
      <c r="N5" s="89">
        <v>1</v>
      </c>
      <c r="O5" s="89">
        <v>1</v>
      </c>
      <c r="P5" s="89">
        <v>1</v>
      </c>
      <c r="Q5" s="92" t="s">
        <v>228</v>
      </c>
      <c r="R5" s="92" t="s">
        <v>228</v>
      </c>
      <c r="S5" s="92" t="s">
        <v>228</v>
      </c>
      <c r="T5" s="92" t="s">
        <v>228</v>
      </c>
      <c r="U5" s="92" t="s">
        <v>228</v>
      </c>
      <c r="V5" s="98"/>
    </row>
    <row r="6" spans="1:21" ht="18.75" customHeight="1">
      <c r="A6" s="129"/>
      <c r="B6" s="87" t="s">
        <v>3</v>
      </c>
      <c r="C6" s="90" t="s">
        <v>161</v>
      </c>
      <c r="D6" s="5">
        <v>1</v>
      </c>
      <c r="E6" s="88" t="s">
        <v>161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92" t="s">
        <v>228</v>
      </c>
      <c r="R6" s="92" t="s">
        <v>228</v>
      </c>
      <c r="S6" s="92" t="s">
        <v>228</v>
      </c>
      <c r="T6" s="92" t="s">
        <v>228</v>
      </c>
      <c r="U6" s="92" t="s">
        <v>228</v>
      </c>
    </row>
    <row r="7" spans="1:21" ht="18.75" customHeight="1">
      <c r="A7" s="129"/>
      <c r="B7" s="87" t="s">
        <v>4</v>
      </c>
      <c r="C7" s="90" t="s">
        <v>161</v>
      </c>
      <c r="D7" s="5" t="s">
        <v>161</v>
      </c>
      <c r="E7" s="91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92" t="s">
        <v>228</v>
      </c>
      <c r="R7" s="92" t="s">
        <v>228</v>
      </c>
      <c r="S7" s="92" t="s">
        <v>228</v>
      </c>
      <c r="T7" s="92" t="s">
        <v>228</v>
      </c>
      <c r="U7" s="92" t="s">
        <v>228</v>
      </c>
    </row>
    <row r="8" spans="1:21" ht="18.75" customHeight="1">
      <c r="A8" s="124" t="s">
        <v>5</v>
      </c>
      <c r="B8" s="125"/>
      <c r="C8" s="3">
        <v>-1</v>
      </c>
      <c r="D8" s="5">
        <v>1</v>
      </c>
      <c r="E8" s="91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89">
        <v>1</v>
      </c>
      <c r="P8" s="89">
        <v>1</v>
      </c>
      <c r="Q8" s="92" t="s">
        <v>228</v>
      </c>
      <c r="R8" s="92" t="s">
        <v>228</v>
      </c>
      <c r="S8" s="92" t="s">
        <v>228</v>
      </c>
      <c r="T8" s="92" t="s">
        <v>228</v>
      </c>
      <c r="U8" s="92" t="s">
        <v>228</v>
      </c>
    </row>
    <row r="9" spans="1:21" ht="18.75" customHeight="1">
      <c r="A9" s="124" t="s">
        <v>6</v>
      </c>
      <c r="B9" s="125"/>
      <c r="C9" s="3">
        <v>-1</v>
      </c>
      <c r="D9" s="5">
        <v>1</v>
      </c>
      <c r="E9" s="91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92" t="s">
        <v>228</v>
      </c>
      <c r="R9" s="92" t="s">
        <v>228</v>
      </c>
      <c r="S9" s="92" t="s">
        <v>228</v>
      </c>
      <c r="T9" s="92" t="s">
        <v>228</v>
      </c>
      <c r="U9" s="92" t="s">
        <v>228</v>
      </c>
    </row>
    <row r="10" spans="1:21" ht="18.75" customHeight="1">
      <c r="A10" s="124" t="s">
        <v>7</v>
      </c>
      <c r="B10" s="125"/>
      <c r="C10" s="3">
        <v>-1</v>
      </c>
      <c r="D10" s="5">
        <v>1</v>
      </c>
      <c r="E10" s="91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92" t="s">
        <v>228</v>
      </c>
      <c r="R10" s="92" t="s">
        <v>228</v>
      </c>
      <c r="S10" s="92" t="s">
        <v>228</v>
      </c>
      <c r="T10" s="92" t="s">
        <v>228</v>
      </c>
      <c r="U10" s="92" t="s">
        <v>228</v>
      </c>
    </row>
    <row r="11" spans="1:21" ht="18.75" customHeight="1">
      <c r="A11" s="124" t="s">
        <v>8</v>
      </c>
      <c r="B11" s="125"/>
      <c r="C11" s="3">
        <v>-1</v>
      </c>
      <c r="D11" s="5">
        <v>1</v>
      </c>
      <c r="E11" s="91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92" t="s">
        <v>228</v>
      </c>
      <c r="R11" s="92" t="s">
        <v>228</v>
      </c>
      <c r="S11" s="92" t="s">
        <v>228</v>
      </c>
      <c r="T11" s="92" t="s">
        <v>228</v>
      </c>
      <c r="U11" s="92" t="s">
        <v>228</v>
      </c>
    </row>
    <row r="12" spans="1:21" ht="18.75" customHeight="1">
      <c r="A12" s="126" t="s">
        <v>9</v>
      </c>
      <c r="B12" s="127"/>
      <c r="C12" s="93">
        <v>-1</v>
      </c>
      <c r="D12" s="19">
        <v>1</v>
      </c>
      <c r="E12" s="94">
        <v>1</v>
      </c>
      <c r="F12" s="19">
        <v>1</v>
      </c>
      <c r="G12" s="19">
        <v>1</v>
      </c>
      <c r="H12" s="19">
        <v>1</v>
      </c>
      <c r="I12" s="19">
        <v>1</v>
      </c>
      <c r="J12" s="19">
        <v>1</v>
      </c>
      <c r="K12" s="19">
        <v>1</v>
      </c>
      <c r="L12" s="19">
        <v>1</v>
      </c>
      <c r="M12" s="19">
        <v>1</v>
      </c>
      <c r="N12" s="19">
        <v>1</v>
      </c>
      <c r="O12" s="19">
        <v>1</v>
      </c>
      <c r="P12" s="19">
        <v>1</v>
      </c>
      <c r="Q12" s="92" t="s">
        <v>228</v>
      </c>
      <c r="R12" s="92" t="s">
        <v>228</v>
      </c>
      <c r="S12" s="92" t="s">
        <v>228</v>
      </c>
      <c r="T12" s="92" t="s">
        <v>228</v>
      </c>
      <c r="U12" s="92" t="s">
        <v>228</v>
      </c>
    </row>
    <row r="13" spans="1:21" ht="18.75" customHeight="1">
      <c r="A13" s="124" t="s">
        <v>10</v>
      </c>
      <c r="B13" s="125"/>
      <c r="C13" s="3">
        <v>-1</v>
      </c>
      <c r="D13" s="5">
        <v>1</v>
      </c>
      <c r="E13" s="91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92" t="s">
        <v>228</v>
      </c>
      <c r="R13" s="92" t="s">
        <v>228</v>
      </c>
      <c r="S13" s="92" t="s">
        <v>228</v>
      </c>
      <c r="T13" s="92" t="s">
        <v>228</v>
      </c>
      <c r="U13" s="92" t="s">
        <v>228</v>
      </c>
    </row>
    <row r="14" spans="1:21" ht="18.75" customHeight="1">
      <c r="A14" s="124" t="s">
        <v>11</v>
      </c>
      <c r="B14" s="125"/>
      <c r="C14" s="3">
        <v>-1</v>
      </c>
      <c r="D14" s="5">
        <v>1</v>
      </c>
      <c r="E14" s="91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92" t="s">
        <v>228</v>
      </c>
      <c r="R14" s="92" t="s">
        <v>228</v>
      </c>
      <c r="S14" s="92" t="s">
        <v>228</v>
      </c>
      <c r="T14" s="92" t="s">
        <v>228</v>
      </c>
      <c r="U14" s="92" t="s">
        <v>228</v>
      </c>
    </row>
    <row r="15" spans="1:21" ht="18.75" customHeight="1">
      <c r="A15" s="124" t="s">
        <v>12</v>
      </c>
      <c r="B15" s="125"/>
      <c r="C15" s="3">
        <v>-1</v>
      </c>
      <c r="D15" s="5">
        <v>1</v>
      </c>
      <c r="E15" s="91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92" t="s">
        <v>228</v>
      </c>
      <c r="R15" s="92" t="s">
        <v>228</v>
      </c>
      <c r="S15" s="92" t="s">
        <v>228</v>
      </c>
      <c r="T15" s="92" t="s">
        <v>228</v>
      </c>
      <c r="U15" s="92" t="s">
        <v>228</v>
      </c>
    </row>
    <row r="16" spans="1:21" ht="18.75" customHeight="1">
      <c r="A16" s="124" t="s">
        <v>13</v>
      </c>
      <c r="B16" s="125"/>
      <c r="C16" s="3">
        <v>-1</v>
      </c>
      <c r="D16" s="5">
        <v>1</v>
      </c>
      <c r="E16" s="91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>
        <v>1</v>
      </c>
      <c r="Q16" s="92" t="s">
        <v>228</v>
      </c>
      <c r="R16" s="92" t="s">
        <v>228</v>
      </c>
      <c r="S16" s="92" t="s">
        <v>228</v>
      </c>
      <c r="T16" s="92" t="s">
        <v>228</v>
      </c>
      <c r="U16" s="92" t="s">
        <v>228</v>
      </c>
    </row>
    <row r="17" spans="1:21" ht="18.75" customHeight="1">
      <c r="A17" s="124" t="s">
        <v>14</v>
      </c>
      <c r="B17" s="125"/>
      <c r="C17" s="3">
        <v>-1</v>
      </c>
      <c r="D17" s="5">
        <v>1</v>
      </c>
      <c r="E17" s="91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92" t="s">
        <v>228</v>
      </c>
      <c r="R17" s="92" t="s">
        <v>228</v>
      </c>
      <c r="S17" s="92" t="s">
        <v>228</v>
      </c>
      <c r="T17" s="92" t="s">
        <v>228</v>
      </c>
      <c r="U17" s="92" t="s">
        <v>228</v>
      </c>
    </row>
    <row r="18" spans="1:21" ht="18.75" customHeight="1">
      <c r="A18" s="124" t="s">
        <v>15</v>
      </c>
      <c r="B18" s="125"/>
      <c r="C18" s="3">
        <v>-1</v>
      </c>
      <c r="D18" s="5">
        <v>1</v>
      </c>
      <c r="E18" s="91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4">
        <v>1</v>
      </c>
      <c r="Q18" s="92" t="s">
        <v>228</v>
      </c>
      <c r="R18" s="92" t="s">
        <v>228</v>
      </c>
      <c r="S18" s="92" t="s">
        <v>228</v>
      </c>
      <c r="T18" s="92" t="s">
        <v>228</v>
      </c>
      <c r="U18" s="92" t="s">
        <v>228</v>
      </c>
    </row>
    <row r="19" spans="1:21" ht="18.75" customHeight="1">
      <c r="A19" s="120" t="s">
        <v>162</v>
      </c>
      <c r="B19" s="121"/>
      <c r="C19" s="3">
        <v>-1</v>
      </c>
      <c r="D19" s="5">
        <v>1</v>
      </c>
      <c r="E19" s="91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>
        <v>1</v>
      </c>
      <c r="O19" s="4">
        <v>1</v>
      </c>
      <c r="P19" s="4">
        <v>1</v>
      </c>
      <c r="Q19" s="92" t="s">
        <v>228</v>
      </c>
      <c r="R19" s="92" t="s">
        <v>228</v>
      </c>
      <c r="S19" s="92" t="s">
        <v>228</v>
      </c>
      <c r="T19" s="92" t="s">
        <v>228</v>
      </c>
      <c r="U19" s="92" t="s">
        <v>228</v>
      </c>
    </row>
    <row r="20" spans="1:21" ht="18.75" customHeight="1">
      <c r="A20" s="122" t="s">
        <v>163</v>
      </c>
      <c r="B20" s="87" t="s">
        <v>164</v>
      </c>
      <c r="C20" s="3">
        <v>-1</v>
      </c>
      <c r="D20" s="5">
        <v>1</v>
      </c>
      <c r="E20" s="91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5" t="s">
        <v>161</v>
      </c>
      <c r="R20" s="5" t="s">
        <v>161</v>
      </c>
      <c r="S20" s="95"/>
      <c r="T20" s="18"/>
      <c r="U20" s="18"/>
    </row>
    <row r="21" spans="1:21" ht="18.75" customHeight="1">
      <c r="A21" s="123"/>
      <c r="B21" s="87" t="s">
        <v>165</v>
      </c>
      <c r="C21" s="3">
        <v>-1</v>
      </c>
      <c r="D21" s="5">
        <v>1</v>
      </c>
      <c r="E21" s="91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5" t="s">
        <v>161</v>
      </c>
      <c r="R21" s="5" t="s">
        <v>161</v>
      </c>
      <c r="S21" s="96"/>
      <c r="T21" s="97"/>
      <c r="U21" s="97"/>
    </row>
    <row r="22" spans="1:21" ht="20.25" customHeight="1">
      <c r="A22" s="118" t="s">
        <v>229</v>
      </c>
      <c r="B22" s="119"/>
      <c r="C22" s="3">
        <v>-1</v>
      </c>
      <c r="D22" s="5">
        <v>1</v>
      </c>
      <c r="E22" s="91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5" t="s">
        <v>161</v>
      </c>
      <c r="R22" s="5" t="s">
        <v>161</v>
      </c>
      <c r="S22" s="96"/>
      <c r="T22" s="97"/>
      <c r="U22" s="97"/>
    </row>
    <row r="23" spans="1:21" ht="20.25" customHeight="1">
      <c r="A23" s="118" t="s">
        <v>230</v>
      </c>
      <c r="B23" s="119"/>
      <c r="C23" s="3">
        <v>-1</v>
      </c>
      <c r="D23" s="5">
        <v>1</v>
      </c>
      <c r="E23" s="91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5" t="s">
        <v>161</v>
      </c>
      <c r="R23" s="5" t="s">
        <v>161</v>
      </c>
      <c r="S23" s="96"/>
      <c r="T23" s="97"/>
      <c r="U23" s="97"/>
    </row>
    <row r="24" spans="1:21" ht="20.25" customHeight="1">
      <c r="A24" s="118" t="s">
        <v>231</v>
      </c>
      <c r="B24" s="119"/>
      <c r="C24" s="3">
        <v>-1</v>
      </c>
      <c r="D24" s="5">
        <v>1</v>
      </c>
      <c r="E24" s="91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1</v>
      </c>
      <c r="Q24" s="5" t="s">
        <v>161</v>
      </c>
      <c r="R24" s="5" t="s">
        <v>161</v>
      </c>
      <c r="S24" s="96"/>
      <c r="T24" s="97"/>
      <c r="U24" s="97"/>
    </row>
  </sheetData>
  <mergeCells count="29">
    <mergeCell ref="A3:B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A5:A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4:B24"/>
    <mergeCell ref="A19:B19"/>
    <mergeCell ref="A20:A21"/>
    <mergeCell ref="A22:B22"/>
    <mergeCell ref="A23:B2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A63">
      <selection activeCell="A1" sqref="A1"/>
    </sheetView>
  </sheetViews>
  <sheetFormatPr defaultColWidth="9.140625" defaultRowHeight="12.75"/>
  <cols>
    <col min="1" max="15" width="8.57421875" style="0" customWidth="1"/>
  </cols>
  <sheetData>
    <row r="1" spans="1:15" ht="14.25">
      <c r="A1" s="107" t="s">
        <v>166</v>
      </c>
      <c r="B1" s="111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"/>
    </row>
    <row r="2" spans="1:15" ht="12.75">
      <c r="A2" s="110" t="s">
        <v>167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"/>
      <c r="N2" s="1"/>
      <c r="O2" s="1"/>
    </row>
    <row r="3" spans="1:14" ht="12.75">
      <c r="A3" s="57" t="s">
        <v>232</v>
      </c>
      <c r="B3" s="42" t="s">
        <v>152</v>
      </c>
      <c r="C3" s="42">
        <v>0</v>
      </c>
      <c r="D3" s="42">
        <v>1</v>
      </c>
      <c r="E3" s="42">
        <v>2</v>
      </c>
      <c r="F3" s="42">
        <v>3</v>
      </c>
      <c r="G3" s="42">
        <v>4</v>
      </c>
      <c r="H3" s="42">
        <v>5</v>
      </c>
      <c r="I3" s="42">
        <v>6</v>
      </c>
      <c r="J3" s="42">
        <v>7</v>
      </c>
      <c r="K3" s="42">
        <v>8</v>
      </c>
      <c r="L3" s="42">
        <v>9</v>
      </c>
      <c r="M3" s="2">
        <v>10</v>
      </c>
      <c r="N3" s="2" t="s">
        <v>154</v>
      </c>
    </row>
    <row r="4" spans="1:14" ht="12.75">
      <c r="A4" s="2" t="s">
        <v>2</v>
      </c>
      <c r="B4" s="106">
        <v>-1</v>
      </c>
      <c r="C4" s="106">
        <v>-1</v>
      </c>
      <c r="D4" s="106">
        <v>-1</v>
      </c>
      <c r="E4" s="106">
        <v>-1</v>
      </c>
      <c r="F4" s="106">
        <v>-1</v>
      </c>
      <c r="G4" s="106">
        <v>-1</v>
      </c>
      <c r="H4" s="5">
        <v>0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</row>
    <row r="5" spans="1:14" ht="15.75">
      <c r="A5" s="12" t="s">
        <v>181</v>
      </c>
      <c r="B5" s="106">
        <v>-1</v>
      </c>
      <c r="C5" s="106">
        <v>-1</v>
      </c>
      <c r="D5" s="106">
        <v>-1</v>
      </c>
      <c r="E5" s="106">
        <v>-1</v>
      </c>
      <c r="F5" s="106">
        <v>-1</v>
      </c>
      <c r="G5" s="106">
        <v>-1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</row>
    <row r="6" spans="1:14" ht="15.75">
      <c r="A6" s="12" t="s">
        <v>182</v>
      </c>
      <c r="B6" s="4">
        <v>1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</row>
    <row r="29" spans="1:14" ht="15.75">
      <c r="A29" t="s">
        <v>16</v>
      </c>
      <c r="C29" s="6" t="s">
        <v>41</v>
      </c>
      <c r="D29">
        <f>(I4-H4)*(0.5*(C6-C5)+D6-D5+E6-E5+F6-F5+G6-G5+H6-H5+I6-I5+J6-J5+K6-K5+L6-L5+0.5*(M6-M5))</f>
        <v>9</v>
      </c>
      <c r="E29" t="s">
        <v>33</v>
      </c>
      <c r="F29" s="6" t="s">
        <v>40</v>
      </c>
      <c r="G29">
        <f>(C4-B4)*(0.5*(B6-B5+C6-C5))</f>
        <v>0</v>
      </c>
      <c r="H29" t="s">
        <v>33</v>
      </c>
      <c r="I29" s="6" t="s">
        <v>39</v>
      </c>
      <c r="J29">
        <f>(N4-M4)*(0.5*(M6-M5+N6-N5))</f>
        <v>0</v>
      </c>
      <c r="K29" t="s">
        <v>33</v>
      </c>
      <c r="L29" s="6" t="s">
        <v>38</v>
      </c>
      <c r="M29" s="54">
        <f>D29+G29+J29</f>
        <v>9</v>
      </c>
      <c r="N29" t="s">
        <v>33</v>
      </c>
    </row>
    <row r="30" spans="1:14" ht="15.75">
      <c r="A30" t="s">
        <v>18</v>
      </c>
      <c r="C30" s="7" t="s">
        <v>42</v>
      </c>
      <c r="D30">
        <f>(I4-H4)*(I4-H4)*((-2.5)*(C6-C5)+(-4)*(D6-D5)+(-3)*(E6-E5)+(-2)*(F6-F5)-(G6-G5)+I6-I5+2*(J6-J5)+3*(K6-K5)+4*(L6-L5)+2.5*(M6-M5))+0.5*(B4+C4)*(C4-B4)*(0.5*(B6-B5+C6-C5))+0.5*(M4+N4)*(N4-M4)*(0.5*(M6-M5+N6-N5))</f>
        <v>-25</v>
      </c>
      <c r="E30" t="s">
        <v>34</v>
      </c>
      <c r="F30" t="s">
        <v>17</v>
      </c>
      <c r="H30" s="6" t="s">
        <v>44</v>
      </c>
      <c r="I30">
        <f>D30/M29</f>
        <v>-2.7777777777777777</v>
      </c>
      <c r="J30" t="s">
        <v>19</v>
      </c>
      <c r="K30" t="s">
        <v>25</v>
      </c>
      <c r="L30" s="8" t="s">
        <v>46</v>
      </c>
      <c r="M30" s="54">
        <f>POWER((I4-H4),3)*(12.5*(C6-C5)+16*(D6-D5)+9*(E6-E5)+4*(F6-F5)+G6-G5+I6-I5+4*(J6-J5)+9*(K6-K5)+16*(L6-L5)+12.5*(M6-M5))+POWER((0.5*(B4+C4)),2)*(C4-B4)*(0.5*(B6-B5+C6-C5))+POWER((0.5*(M4+N4)),2)*(N4-M4)*(0.5*(M6-M5+N6-N5))</f>
        <v>85</v>
      </c>
      <c r="N30" t="s">
        <v>35</v>
      </c>
    </row>
    <row r="31" spans="3:13" ht="15.75">
      <c r="C31" s="7" t="s">
        <v>43</v>
      </c>
      <c r="D31">
        <f>0.5*(I4-H4)*(0.5*(C6-C5)*(C6+C5)+(D6-D5)*(D6+D5)+(E6-E5)*(E6+E5)+(F6-F5)*(F6+F5)+(G6-G5)*(G6+G5)+(H6-H5)*(H6+H5)+(I6-I5)*(I6+I5)+(J6-J5)*(J6+J5)+(K6-K5)*(K6+K5)+(L6-L5)*(L6+L5)+0.5*(M6-M5)*(M6+M5))+0.25*(B6+B5+C6+C5)*(C4-B4)*(0.5*(B6-B5+C6-C5))+0.25*(M6+M5+N6+N5)*(N4-M4)*(0.5*(N6-N5+M6-M5))</f>
        <v>0</v>
      </c>
      <c r="E31" t="s">
        <v>34</v>
      </c>
      <c r="H31" s="6" t="s">
        <v>45</v>
      </c>
      <c r="I31">
        <f>D31/M29</f>
        <v>0</v>
      </c>
      <c r="J31" t="s">
        <v>19</v>
      </c>
      <c r="L31" s="8" t="s">
        <v>50</v>
      </c>
      <c r="M31" s="114">
        <f>M30-I30*I30*M29</f>
        <v>15.555555555555557</v>
      </c>
    </row>
    <row r="32" spans="12:14" ht="15.75">
      <c r="L32" s="8" t="s">
        <v>47</v>
      </c>
      <c r="M32" s="54">
        <f>1/3*(I4-H4)*(0.5*POWER((-B5),3)+0.5*POWER(B6,3)+POWER((-D5),3)+POWER(D6,3)+POWER((-E5),3)+POWER(E6,3)+POWER((-F5),3)+POWER(F6,3)+POWER((-G5),3)+POWER(G6,3)+POWER((-H5),3)+POWER(H6,3)+POWER((-I5),3)+POWER(I6,3)+POWER((-J5),3)+POWER(J6,3)+POWER((-K5),3)+POWER(K6,3)+POWER((-L5),3)+POWER(L6,3)+0.5*POWER((-M5),3)+0.5*POWER(M6,3))+POWER(0.25*(B6+B5+C6+C5),2)*(C4-B4)*(0.5*(B6-B5+C6-C5))+POWER(0.25*(M6+M5+N6+N5),2)*(N4-M4)*0.5*(N6-N5+M6-M5)</f>
        <v>3</v>
      </c>
      <c r="N32" t="s">
        <v>35</v>
      </c>
    </row>
    <row r="33" spans="1:14" s="9" customFormat="1" ht="15.75">
      <c r="A33" s="9" t="s">
        <v>29</v>
      </c>
      <c r="C33" s="41" t="s">
        <v>48</v>
      </c>
      <c r="D33" s="9" t="e">
        <f>M29/((M4-C4)*(H6-H5))</f>
        <v>#DIV/0!</v>
      </c>
      <c r="L33" s="41" t="s">
        <v>49</v>
      </c>
      <c r="M33" s="114">
        <f>M32-I31*I31*M29</f>
        <v>3</v>
      </c>
      <c r="N33" s="9" t="s">
        <v>35</v>
      </c>
    </row>
    <row r="34" spans="3:12" s="9" customFormat="1" ht="12.75">
      <c r="C34" s="41"/>
      <c r="L34" s="41"/>
    </row>
    <row r="35" s="9" customFormat="1" ht="12.75">
      <c r="A35" s="110" t="s">
        <v>168</v>
      </c>
    </row>
    <row r="36" spans="1:14" ht="12.75">
      <c r="A36" s="57" t="s">
        <v>233</v>
      </c>
      <c r="B36" s="2" t="s">
        <v>152</v>
      </c>
      <c r="C36" s="2">
        <v>0</v>
      </c>
      <c r="D36" s="2">
        <v>1</v>
      </c>
      <c r="E36" s="2">
        <v>2</v>
      </c>
      <c r="F36" s="2">
        <v>3</v>
      </c>
      <c r="G36" s="2">
        <v>4</v>
      </c>
      <c r="H36" s="2">
        <v>5</v>
      </c>
      <c r="I36" s="2">
        <v>6</v>
      </c>
      <c r="J36" s="2">
        <v>7</v>
      </c>
      <c r="K36" s="2">
        <v>8</v>
      </c>
      <c r="L36" s="2">
        <v>9</v>
      </c>
      <c r="M36" s="2">
        <v>10</v>
      </c>
      <c r="N36" s="2" t="s">
        <v>154</v>
      </c>
    </row>
    <row r="37" spans="1:14" ht="12.75">
      <c r="A37" s="2" t="s">
        <v>2</v>
      </c>
      <c r="B37" s="106">
        <v>-1</v>
      </c>
      <c r="C37" s="106">
        <v>-1</v>
      </c>
      <c r="D37" s="106">
        <v>-1</v>
      </c>
      <c r="E37" s="106">
        <v>-1</v>
      </c>
      <c r="F37" s="106">
        <v>-1</v>
      </c>
      <c r="G37" s="106">
        <v>-1</v>
      </c>
      <c r="H37" s="5">
        <v>0</v>
      </c>
      <c r="I37" s="4">
        <v>1</v>
      </c>
      <c r="J37" s="4">
        <v>1</v>
      </c>
      <c r="K37" s="4">
        <v>1</v>
      </c>
      <c r="L37" s="4">
        <v>1</v>
      </c>
      <c r="M37" s="4">
        <v>1</v>
      </c>
      <c r="N37" s="4">
        <v>1</v>
      </c>
    </row>
    <row r="38" spans="1:14" ht="15.75">
      <c r="A38" s="12" t="s">
        <v>181</v>
      </c>
      <c r="B38" s="106">
        <v>-1</v>
      </c>
      <c r="C38" s="106">
        <v>-1</v>
      </c>
      <c r="D38" s="106">
        <v>-1</v>
      </c>
      <c r="E38" s="106">
        <v>-1</v>
      </c>
      <c r="F38" s="106">
        <v>-1</v>
      </c>
      <c r="G38" s="106">
        <v>-1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</row>
    <row r="39" spans="1:14" ht="15.75">
      <c r="A39" s="12" t="s">
        <v>182</v>
      </c>
      <c r="B39" s="4">
        <v>1</v>
      </c>
      <c r="C39" s="4">
        <v>1</v>
      </c>
      <c r="D39" s="4">
        <v>1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1</v>
      </c>
      <c r="N39" s="4">
        <v>1</v>
      </c>
    </row>
    <row r="62" spans="1:14" ht="15.75">
      <c r="A62" t="s">
        <v>16</v>
      </c>
      <c r="C62" s="6" t="s">
        <v>183</v>
      </c>
      <c r="D62">
        <f>(I37-H37)*(0.5*(C39-C38)+D39-D38+E39-E38+F39-F38+G39-G38+H39-H38+I39-I38+J39-J38+K39-K38+L39-L38+0.5*(M39-M38))</f>
        <v>9</v>
      </c>
      <c r="E62" t="s">
        <v>33</v>
      </c>
      <c r="F62" s="6" t="s">
        <v>184</v>
      </c>
      <c r="G62">
        <f>(C37-B37)*(0.5*(B39-B38+C39-C38))</f>
        <v>0</v>
      </c>
      <c r="H62" t="s">
        <v>33</v>
      </c>
      <c r="I62" s="6" t="s">
        <v>185</v>
      </c>
      <c r="J62">
        <f>(N37-M37)*(0.5*(M39-M38+N39-N38))</f>
        <v>0</v>
      </c>
      <c r="K62" t="s">
        <v>33</v>
      </c>
      <c r="L62" s="6" t="s">
        <v>186</v>
      </c>
      <c r="M62" s="54">
        <f>D62+G62+J62</f>
        <v>9</v>
      </c>
      <c r="N62" t="s">
        <v>33</v>
      </c>
    </row>
    <row r="63" spans="1:14" ht="15.75">
      <c r="A63" t="s">
        <v>18</v>
      </c>
      <c r="C63" s="7" t="s">
        <v>187</v>
      </c>
      <c r="D63">
        <f>(I37-H37)*(I37-H37)*((-2.5)*(C39-C38)+(-4)*(D39-D38)+(-3)*(E39-E38)+(-2)*(F39-F38)-(G39-G38)+I39-I38+2*(J39-J38)+3*(K39-K38)+4*(L39-L38)+2.5*(M39-M38))+0.5*(B37+C37)*(C37-B37)*(0.5*(B39-B38+C39-C38))+0.5*(M37+N37)*(N37-M37)*(0.5*(M39-M38+N39-N38))</f>
        <v>-25</v>
      </c>
      <c r="E63" t="s">
        <v>34</v>
      </c>
      <c r="F63" t="s">
        <v>17</v>
      </c>
      <c r="H63" s="6" t="s">
        <v>190</v>
      </c>
      <c r="I63">
        <f>D63/M62</f>
        <v>-2.7777777777777777</v>
      </c>
      <c r="J63" t="s">
        <v>19</v>
      </c>
      <c r="K63" t="s">
        <v>25</v>
      </c>
      <c r="L63" s="8" t="s">
        <v>192</v>
      </c>
      <c r="M63" s="54">
        <f>POWER((I37-H37),3)*(12.5*(C39-C38)+16*(D39-D38)+9*(E39-E38)+4*(F39-F38)+G39-G38+I39-I38+4*(J39-J38)+9*(K39-K38)+16*(L39-L38)+12.5*(M39-M38))+POWER((0.5*(B37+C37)),2)*(C37-B37)*(0.5*(B39-B38+C39-C38))+POWER((0.5*(M37+N37)),2)*(N37-M37)*(0.5*(M39-M38+N39-N38))</f>
        <v>85</v>
      </c>
      <c r="N63" t="s">
        <v>35</v>
      </c>
    </row>
    <row r="64" spans="3:13" ht="15.75">
      <c r="C64" s="7" t="s">
        <v>188</v>
      </c>
      <c r="D64">
        <f>0.5*(I37-H37)*(0.5*(C39-C38)*(C39+C38)+(D39-D38)*(D39+D38)+(E39-E38)*(E39+E38)+(F39-F38)*(F39+F38)+(G39-G38)*(G39+G38)+(H39-H38)*(H39+H38)+(I39-I38)*(I39+I38)+(J39-J38)*(J39+J38)+(K39-K38)*(K39+K38)+(L39-L38)*(L39+L38)+0.5*(M39-M38)*(M39+M38))+0.25*(B39+B38+C39+C38)*(C37-B37)*(0.5*(B39-B38+C39-C38))+0.25*(M39+M38+N39+N38)*(N37-M37)*(0.5*(N39-N38+M39-M38))</f>
        <v>0</v>
      </c>
      <c r="E64" t="s">
        <v>34</v>
      </c>
      <c r="H64" s="6" t="s">
        <v>191</v>
      </c>
      <c r="I64">
        <f>D64/M62</f>
        <v>0</v>
      </c>
      <c r="J64" t="s">
        <v>19</v>
      </c>
      <c r="L64" s="8" t="s">
        <v>193</v>
      </c>
      <c r="M64" s="114">
        <f>M63-I63*I63*M62</f>
        <v>15.555555555555557</v>
      </c>
    </row>
    <row r="65" spans="12:14" ht="15.75">
      <c r="L65" s="8" t="s">
        <v>194</v>
      </c>
      <c r="M65" s="54">
        <f>1/3*(I37-H37)*(0.5*POWER((-B38),3)+0.5*POWER(B39,3)+POWER((-D38),3)+POWER(D39,3)+POWER((-E38),3)+POWER(E39,3)+POWER((-F38),3)+POWER(F39,3)+POWER((-G38),3)+POWER(G39,3)+POWER((-H38),3)+POWER(H39,3)+POWER((-I38),3)+POWER(I39,3)+POWER((-J38),3)+POWER(J39,3)+POWER((-K38),3)+POWER(K39,3)+POWER((-L38),3)+POWER(L39,3)+0.5*POWER((-M38),3)+0.5*POWER(M39,3))+POWER(0.25*(B39+B38+C39+C38),2)*(C37-B37)*(0.5*(B39-B38+C39-C38))+POWER(0.25*(M39+M38+N39+N38),2)*(N37-M37)*0.5*(N39-N38+M39-M38)</f>
        <v>3</v>
      </c>
      <c r="N65" t="s">
        <v>35</v>
      </c>
    </row>
    <row r="66" spans="1:14" ht="15.75">
      <c r="A66" s="9" t="s">
        <v>29</v>
      </c>
      <c r="B66" s="9"/>
      <c r="C66" s="41" t="s">
        <v>189</v>
      </c>
      <c r="D66" s="9" t="e">
        <f>M62/((M37-C37)*(H39-H38))</f>
        <v>#DIV/0!</v>
      </c>
      <c r="E66" s="9"/>
      <c r="F66" s="9"/>
      <c r="G66" s="9"/>
      <c r="H66" s="9"/>
      <c r="I66" s="9"/>
      <c r="J66" s="9"/>
      <c r="K66" s="9"/>
      <c r="L66" s="41" t="s">
        <v>195</v>
      </c>
      <c r="M66" s="114">
        <f>M65-I64*I64*M62</f>
        <v>3</v>
      </c>
      <c r="N66" s="9" t="s">
        <v>35</v>
      </c>
    </row>
    <row r="67" spans="1:14" ht="12.75">
      <c r="A67" s="9"/>
      <c r="B67" s="9"/>
      <c r="C67" s="41"/>
      <c r="D67" s="9"/>
      <c r="E67" s="9"/>
      <c r="F67" s="9"/>
      <c r="G67" s="9"/>
      <c r="H67" s="9"/>
      <c r="I67" s="9"/>
      <c r="J67" s="9"/>
      <c r="K67" s="9"/>
      <c r="L67" s="41"/>
      <c r="M67" s="9"/>
      <c r="N67" s="9"/>
    </row>
    <row r="68" spans="1:14" ht="12.75">
      <c r="A68" s="9"/>
      <c r="B68" s="9"/>
      <c r="C68" s="41"/>
      <c r="D68" s="9"/>
      <c r="E68" s="9"/>
      <c r="F68" s="9"/>
      <c r="G68" s="9"/>
      <c r="H68" s="9"/>
      <c r="I68" s="9"/>
      <c r="J68" s="9"/>
      <c r="K68" s="9"/>
      <c r="L68" s="41"/>
      <c r="M68" s="9"/>
      <c r="N68" s="9"/>
    </row>
    <row r="69" ht="12.75">
      <c r="A69" s="102" t="s">
        <v>169</v>
      </c>
    </row>
    <row r="70" spans="1:14" ht="12.75">
      <c r="A70" s="57" t="s">
        <v>196</v>
      </c>
      <c r="B70" s="2" t="s">
        <v>152</v>
      </c>
      <c r="C70" s="2">
        <v>0</v>
      </c>
      <c r="D70" s="2">
        <v>1</v>
      </c>
      <c r="E70" s="2">
        <v>2</v>
      </c>
      <c r="F70" s="2">
        <v>3</v>
      </c>
      <c r="G70" s="2">
        <v>4</v>
      </c>
      <c r="H70" s="2">
        <v>5</v>
      </c>
      <c r="I70" s="2">
        <v>6</v>
      </c>
      <c r="J70" s="2">
        <v>7</v>
      </c>
      <c r="K70" s="2">
        <v>8</v>
      </c>
      <c r="L70" s="2">
        <v>9</v>
      </c>
      <c r="M70" s="2">
        <v>10</v>
      </c>
      <c r="N70" s="2" t="s">
        <v>154</v>
      </c>
    </row>
    <row r="71" spans="1:14" ht="12.75">
      <c r="A71" s="2" t="s">
        <v>2</v>
      </c>
      <c r="B71" s="106">
        <v>-1</v>
      </c>
      <c r="C71" s="106">
        <v>-1</v>
      </c>
      <c r="D71" s="106">
        <v>-1</v>
      </c>
      <c r="E71" s="106">
        <v>-1</v>
      </c>
      <c r="F71" s="106">
        <v>-1</v>
      </c>
      <c r="G71" s="106">
        <v>-1</v>
      </c>
      <c r="H71" s="5">
        <v>0</v>
      </c>
      <c r="I71" s="4">
        <v>1</v>
      </c>
      <c r="J71" s="4">
        <v>1</v>
      </c>
      <c r="K71" s="4">
        <v>1</v>
      </c>
      <c r="L71" s="4">
        <v>1</v>
      </c>
      <c r="M71" s="4">
        <v>1</v>
      </c>
      <c r="N71" s="4">
        <v>1</v>
      </c>
    </row>
    <row r="72" spans="1:14" ht="15.75">
      <c r="A72" s="12" t="s">
        <v>181</v>
      </c>
      <c r="B72" s="106">
        <v>-1</v>
      </c>
      <c r="C72" s="106">
        <v>-1</v>
      </c>
      <c r="D72" s="106">
        <v>-1</v>
      </c>
      <c r="E72" s="106">
        <v>-1</v>
      </c>
      <c r="F72" s="106">
        <v>-1</v>
      </c>
      <c r="G72" s="106">
        <v>-1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N72" s="4">
        <v>1</v>
      </c>
    </row>
    <row r="73" spans="1:14" ht="15.75">
      <c r="A73" s="12" t="s">
        <v>182</v>
      </c>
      <c r="B73" s="4">
        <v>1</v>
      </c>
      <c r="C73" s="4">
        <v>1</v>
      </c>
      <c r="D73" s="4">
        <v>1</v>
      </c>
      <c r="E73" s="4">
        <v>1</v>
      </c>
      <c r="F73" s="4">
        <v>1</v>
      </c>
      <c r="G73" s="4">
        <v>1</v>
      </c>
      <c r="H73" s="4">
        <v>1</v>
      </c>
      <c r="I73" s="4">
        <v>1</v>
      </c>
      <c r="J73" s="4">
        <v>1</v>
      </c>
      <c r="K73" s="4">
        <v>1</v>
      </c>
      <c r="L73" s="4">
        <v>1</v>
      </c>
      <c r="M73" s="4">
        <v>1</v>
      </c>
      <c r="N73" s="4">
        <v>1</v>
      </c>
    </row>
    <row r="96" spans="1:14" ht="15.75">
      <c r="A96" t="s">
        <v>16</v>
      </c>
      <c r="C96" s="6" t="s">
        <v>197</v>
      </c>
      <c r="D96">
        <f>(I71-H71)*(0.5*(C73-C72)+D73-D72+E73-E72+F73-F72+G73-G72+H73-H72+I73-I72+J73-J72+K73-K72+L73-L72+0.5*(M73-M72))</f>
        <v>9</v>
      </c>
      <c r="E96" t="s">
        <v>33</v>
      </c>
      <c r="F96" s="6" t="s">
        <v>198</v>
      </c>
      <c r="G96">
        <f>(C71-B71)*(0.5*(B73-B72+C73-C72))</f>
        <v>0</v>
      </c>
      <c r="H96" t="s">
        <v>33</v>
      </c>
      <c r="I96" s="6" t="s">
        <v>199</v>
      </c>
      <c r="J96">
        <f>(N71-M71)*(0.5*(M73-M72+N73-N72))</f>
        <v>0</v>
      </c>
      <c r="K96" t="s">
        <v>33</v>
      </c>
      <c r="L96" s="6" t="s">
        <v>200</v>
      </c>
      <c r="M96">
        <f>D96+G96+J96</f>
        <v>9</v>
      </c>
      <c r="N96" t="s">
        <v>33</v>
      </c>
    </row>
    <row r="97" spans="1:14" ht="15.75">
      <c r="A97" t="s">
        <v>18</v>
      </c>
      <c r="C97" s="7" t="s">
        <v>201</v>
      </c>
      <c r="D97">
        <f>(I71-H71)*(I71-H71)*((-2.5)*(C73-C72)+(-4)*(D73-D72)+(-3)*(E73-E72)+(-2)*(F73-F72)-(G73-G72)+I73-I72+2*(J73-J72)+3*(K73-K72)+4*(L73-L72)+2.5*(M73-M72))+0.5*(B71+C71)*(C71-B71)*(0.5*(B73-B72+C73-C72))+0.5*(M71+N71)*(N71-M71)*(0.5*(M73-M72+N73-N72))</f>
        <v>-25</v>
      </c>
      <c r="E97" t="s">
        <v>34</v>
      </c>
      <c r="F97" t="s">
        <v>17</v>
      </c>
      <c r="H97" s="6" t="s">
        <v>204</v>
      </c>
      <c r="I97">
        <f>D97/M96</f>
        <v>-2.7777777777777777</v>
      </c>
      <c r="J97" t="s">
        <v>19</v>
      </c>
      <c r="K97" t="s">
        <v>25</v>
      </c>
      <c r="L97" s="8" t="s">
        <v>206</v>
      </c>
      <c r="M97">
        <f>POWER((I71-H71),3)*(12.5*(C73-C72)+16*(D73-D72)+9*(E73-E72)+4*(F73-F72)+G73-G72+I73-I72+4*(J73-J72)+9*(K73-K72)+16*(L73-L72)+12.5*(M73-M72))+POWER((0.5*(B71+C71)),2)*(C71-B71)*(0.5*(B73-B72+C73-C72))+POWER((0.5*(M71+N71)),2)*(N71-M71)*(0.5*(M73-M72+N73-N72))</f>
        <v>85</v>
      </c>
      <c r="N97" t="s">
        <v>35</v>
      </c>
    </row>
    <row r="98" spans="3:13" ht="15.75">
      <c r="C98" s="7" t="s">
        <v>202</v>
      </c>
      <c r="D98">
        <f>0.5*(I71-H71)*(0.5*(C73-C72)*(C73+C72)+(D73-D72)*(D73+D72)+(E73-E72)*(E73+E72)+(F73-F72)*(F73+F72)+(G73-G72)*(G73+G72)+(H73-H72)*(H73+H72)+(I73-I72)*(I73+I72)+(J73-J72)*(J73+J72)+(K73-K72)*(K73+K72)+(L73-L72)*(L73+L72)+0.5*(M73-M72)*(M73+M72))+0.25*(B73+B72+C73+C72)*(C71-B71)*(0.5*(B73-B72+C73-C72))+0.25*(M73+M72+N73+N72)*(N71-M71)*(0.5*(N73-N72+M73-M72))</f>
        <v>0</v>
      </c>
      <c r="E98" t="s">
        <v>34</v>
      </c>
      <c r="H98" s="6" t="s">
        <v>205</v>
      </c>
      <c r="I98">
        <f>D98/M96</f>
        <v>0</v>
      </c>
      <c r="J98" t="s">
        <v>19</v>
      </c>
      <c r="L98" s="8" t="s">
        <v>207</v>
      </c>
      <c r="M98" s="9">
        <f>M97-I97*I97*M96</f>
        <v>15.555555555555557</v>
      </c>
    </row>
    <row r="99" spans="12:14" ht="15.75">
      <c r="L99" s="8" t="s">
        <v>208</v>
      </c>
      <c r="M99" s="54">
        <f>1/3*(I71-H71)*(0.5*POWER((-B72),3)+0.5*POWER(B73,3)+POWER((-D72),3)+POWER(D73,3)+POWER((-E72),3)+POWER(E73,3)+POWER((-F72),3)+POWER(F73,3)+POWER((-G72),3)+POWER(G73,3)+POWER((-H72),3)+POWER(H73,3)+POWER((-I72),3)+POWER(I73,3)+POWER((-J72),3)+POWER(J73,3)+POWER((-K72),3)+POWER(K73,3)+POWER((-L72),3)+POWER(L73,3)+0.5*POWER((-M72),3)+0.5*POWER(M73,3))+POWER(0.25*(B73+B72+C73+C72),2)*(C71-B71)*(0.5*(B73-B72+C73-C72))+POWER(0.25*(M73+M72+N73+N72),2)*(N71-M71)*0.5*(N73-N72+M73-M72)</f>
        <v>3</v>
      </c>
      <c r="N99" t="s">
        <v>35</v>
      </c>
    </row>
    <row r="100" spans="1:14" ht="15.75">
      <c r="A100" s="9" t="s">
        <v>29</v>
      </c>
      <c r="B100" s="9"/>
      <c r="C100" s="41" t="s">
        <v>203</v>
      </c>
      <c r="D100" s="9" t="e">
        <f>M96/((M71-C71)*(H73-H72))</f>
        <v>#DIV/0!</v>
      </c>
      <c r="E100" s="9"/>
      <c r="F100" s="9"/>
      <c r="G100" s="9"/>
      <c r="H100" s="9"/>
      <c r="I100" s="9"/>
      <c r="J100" s="9"/>
      <c r="K100" s="9"/>
      <c r="L100" s="41" t="s">
        <v>209</v>
      </c>
      <c r="M100" s="114">
        <f>M99-I98*I98*M96</f>
        <v>3</v>
      </c>
      <c r="N100" s="9" t="s">
        <v>35</v>
      </c>
    </row>
  </sheetData>
  <printOptions/>
  <pageMargins left="0.75" right="0.75" top="1" bottom="1" header="0.5" footer="0.5"/>
  <pageSetup horizontalDpi="240" verticalDpi="240" orientation="landscape" paperSize="9" r:id="rId2"/>
  <ignoredErrors>
    <ignoredError sqref="D33 D66 D100" evalErro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0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8" customWidth="1"/>
  </cols>
  <sheetData>
    <row r="1" spans="1:14" ht="12.75">
      <c r="A1" s="113" t="s">
        <v>258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2" ht="12.75">
      <c r="A2" s="10" t="s">
        <v>152</v>
      </c>
      <c r="L2" s="8" t="s">
        <v>180</v>
      </c>
    </row>
    <row r="3" spans="1:14" ht="15.75">
      <c r="A3" s="11" t="s">
        <v>234</v>
      </c>
      <c r="B3" s="12" t="s">
        <v>4</v>
      </c>
      <c r="C3" s="12" t="s">
        <v>3</v>
      </c>
      <c r="L3" s="8" t="s">
        <v>67</v>
      </c>
      <c r="M3" s="13">
        <f>2*(B8-B9)*(0.5*C16+C15+C14+C13+C12+C11+0.5*C10)</f>
        <v>0</v>
      </c>
      <c r="N3" s="8" t="s">
        <v>33</v>
      </c>
    </row>
    <row r="4" spans="1:14" ht="15.75">
      <c r="A4" s="12" t="s">
        <v>5</v>
      </c>
      <c r="B4" s="4">
        <v>1</v>
      </c>
      <c r="C4" s="5">
        <v>1</v>
      </c>
      <c r="L4" s="8" t="s">
        <v>66</v>
      </c>
      <c r="M4" s="8">
        <f>2*(B8-B9)*(0.5*C16+C15+C14+C13+C12+C11+C10+C9+0.5*C8)</f>
        <v>0</v>
      </c>
      <c r="N4" s="8" t="s">
        <v>33</v>
      </c>
    </row>
    <row r="5" spans="1:14" ht="15.75">
      <c r="A5" s="12" t="s">
        <v>6</v>
      </c>
      <c r="B5" s="4">
        <v>1</v>
      </c>
      <c r="C5" s="5">
        <v>1</v>
      </c>
      <c r="L5" s="8" t="s">
        <v>68</v>
      </c>
      <c r="M5" s="8">
        <f>2*(B8-B9)*(0.5*C16+C15+C14+C13+C12+C11+C10+C9+C8+C7+0.5*C6)</f>
        <v>0</v>
      </c>
      <c r="N5" s="8" t="s">
        <v>33</v>
      </c>
    </row>
    <row r="6" spans="1:13" ht="12.75">
      <c r="A6" s="12" t="s">
        <v>7</v>
      </c>
      <c r="B6" s="4">
        <v>1</v>
      </c>
      <c r="C6" s="5">
        <v>1</v>
      </c>
      <c r="M6" s="13"/>
    </row>
    <row r="7" spans="1:3" ht="12.75">
      <c r="A7" s="12" t="s">
        <v>8</v>
      </c>
      <c r="B7" s="4">
        <v>1</v>
      </c>
      <c r="C7" s="5">
        <v>1</v>
      </c>
    </row>
    <row r="8" spans="1:13" ht="12.75">
      <c r="A8" s="12" t="s">
        <v>9</v>
      </c>
      <c r="B8" s="104">
        <v>1</v>
      </c>
      <c r="C8" s="19">
        <v>1</v>
      </c>
      <c r="M8" s="13"/>
    </row>
    <row r="9" spans="1:3" ht="12.75">
      <c r="A9" s="12" t="s">
        <v>10</v>
      </c>
      <c r="B9" s="105">
        <v>1</v>
      </c>
      <c r="C9" s="5">
        <v>1</v>
      </c>
    </row>
    <row r="10" spans="1:3" ht="12.75">
      <c r="A10" s="12" t="s">
        <v>11</v>
      </c>
      <c r="B10" s="105">
        <v>1</v>
      </c>
      <c r="C10" s="5">
        <v>1</v>
      </c>
    </row>
    <row r="11" spans="1:3" ht="12.75">
      <c r="A11" s="12" t="s">
        <v>12</v>
      </c>
      <c r="B11" s="105">
        <v>1</v>
      </c>
      <c r="C11" s="5">
        <v>1</v>
      </c>
    </row>
    <row r="12" spans="1:3" ht="12.75">
      <c r="A12" s="12" t="s">
        <v>13</v>
      </c>
      <c r="B12" s="105">
        <v>1</v>
      </c>
      <c r="C12" s="5">
        <v>1</v>
      </c>
    </row>
    <row r="13" spans="1:13" ht="12.75">
      <c r="A13" s="12" t="s">
        <v>14</v>
      </c>
      <c r="B13" s="105">
        <v>1</v>
      </c>
      <c r="C13" s="5">
        <v>1</v>
      </c>
      <c r="M13" s="14"/>
    </row>
    <row r="14" spans="1:13" ht="12.75">
      <c r="A14" s="12" t="s">
        <v>15</v>
      </c>
      <c r="B14" s="105">
        <v>1</v>
      </c>
      <c r="C14" s="5">
        <v>1</v>
      </c>
      <c r="M14" s="14"/>
    </row>
    <row r="15" spans="1:13" ht="12.75">
      <c r="A15" s="12" t="s">
        <v>31</v>
      </c>
      <c r="B15" s="105">
        <v>1</v>
      </c>
      <c r="C15" s="5">
        <v>1</v>
      </c>
      <c r="M15" s="14"/>
    </row>
    <row r="16" spans="1:15" ht="12.75">
      <c r="A16" s="12" t="s">
        <v>30</v>
      </c>
      <c r="B16" s="105">
        <v>1</v>
      </c>
      <c r="C16" s="5">
        <v>1</v>
      </c>
      <c r="O16" s="13"/>
    </row>
    <row r="18" spans="1:12" ht="12.75">
      <c r="A18" s="10">
        <v>0</v>
      </c>
      <c r="L18" s="8" t="s">
        <v>16</v>
      </c>
    </row>
    <row r="19" spans="1:14" ht="15.75">
      <c r="A19" s="11" t="s">
        <v>235</v>
      </c>
      <c r="B19" s="12" t="s">
        <v>4</v>
      </c>
      <c r="C19" s="12" t="s">
        <v>3</v>
      </c>
      <c r="L19" s="8" t="s">
        <v>67</v>
      </c>
      <c r="M19" s="13">
        <f>2*(B24-B25)*(0.5*C32+C31+C30+C29+C28+C27+0.5*C26)</f>
        <v>0</v>
      </c>
      <c r="N19" s="8" t="s">
        <v>33</v>
      </c>
    </row>
    <row r="20" spans="1:14" ht="15.75">
      <c r="A20" s="12" t="s">
        <v>5</v>
      </c>
      <c r="B20" s="4">
        <v>1</v>
      </c>
      <c r="C20" s="5">
        <v>1</v>
      </c>
      <c r="L20" s="8" t="s">
        <v>66</v>
      </c>
      <c r="M20" s="13">
        <v>0</v>
      </c>
      <c r="N20" s="8" t="s">
        <v>33</v>
      </c>
    </row>
    <row r="21" spans="1:14" ht="15.75">
      <c r="A21" s="12" t="s">
        <v>6</v>
      </c>
      <c r="B21" s="4">
        <v>1</v>
      </c>
      <c r="C21" s="5">
        <v>1</v>
      </c>
      <c r="L21" s="8" t="s">
        <v>68</v>
      </c>
      <c r="M21" s="13">
        <f>2*(B24-B25)*(0.5*C32+C31+C30+C29+C28+C27+C26+C25+C24+C23+0.5*C22)</f>
        <v>0</v>
      </c>
      <c r="N21" s="8" t="s">
        <v>33</v>
      </c>
    </row>
    <row r="22" spans="1:13" ht="12.75">
      <c r="A22" s="12" t="s">
        <v>7</v>
      </c>
      <c r="B22" s="4">
        <v>1</v>
      </c>
      <c r="C22" s="5">
        <v>1</v>
      </c>
      <c r="M22" s="13"/>
    </row>
    <row r="23" spans="1:13" ht="12.75">
      <c r="A23" s="12" t="s">
        <v>8</v>
      </c>
      <c r="B23" s="4">
        <v>1</v>
      </c>
      <c r="C23" s="5">
        <v>1</v>
      </c>
      <c r="L23" s="8" t="s">
        <v>18</v>
      </c>
      <c r="M23" s="13"/>
    </row>
    <row r="24" spans="1:14" ht="15.75">
      <c r="A24" s="12" t="s">
        <v>9</v>
      </c>
      <c r="B24" s="104">
        <v>1</v>
      </c>
      <c r="C24" s="19">
        <v>1</v>
      </c>
      <c r="L24" s="8" t="s">
        <v>69</v>
      </c>
      <c r="M24" s="13">
        <f>2*(B24-B25)*(B24-B25)*(C31+2*C30+3*C29+4*C28+5*C27+3*C26)</f>
        <v>0</v>
      </c>
      <c r="N24" s="8" t="s">
        <v>34</v>
      </c>
    </row>
    <row r="25" spans="1:14" ht="15.75">
      <c r="A25" s="12" t="s">
        <v>10</v>
      </c>
      <c r="B25" s="105">
        <v>1</v>
      </c>
      <c r="C25" s="5">
        <v>1</v>
      </c>
      <c r="L25" s="8" t="s">
        <v>70</v>
      </c>
      <c r="M25" s="13">
        <v>0</v>
      </c>
      <c r="N25" s="8" t="s">
        <v>34</v>
      </c>
    </row>
    <row r="26" spans="1:14" ht="15.75">
      <c r="A26" s="12" t="s">
        <v>11</v>
      </c>
      <c r="B26" s="105">
        <v>1</v>
      </c>
      <c r="C26" s="5">
        <v>1</v>
      </c>
      <c r="L26" s="8" t="s">
        <v>71</v>
      </c>
      <c r="M26" s="13">
        <f>2*(B24-B25)*(B24-B25)*(C31+2*C30+3*C29+4*C28+5*C27+6*C26+7*C25+8*C24+9*C23+5*C22)</f>
        <v>0</v>
      </c>
      <c r="N26" s="8" t="s">
        <v>34</v>
      </c>
    </row>
    <row r="27" spans="1:3" ht="12.75">
      <c r="A27" s="12" t="s">
        <v>12</v>
      </c>
      <c r="B27" s="105">
        <v>1</v>
      </c>
      <c r="C27" s="5">
        <v>1</v>
      </c>
    </row>
    <row r="28" spans="1:12" ht="12.75">
      <c r="A28" s="12" t="s">
        <v>13</v>
      </c>
      <c r="B28" s="105">
        <v>1</v>
      </c>
      <c r="C28" s="5">
        <v>1</v>
      </c>
      <c r="L28" s="8" t="s">
        <v>20</v>
      </c>
    </row>
    <row r="29" spans="1:14" ht="15.75">
      <c r="A29" s="12" t="s">
        <v>14</v>
      </c>
      <c r="B29" s="105">
        <v>1</v>
      </c>
      <c r="C29" s="5">
        <v>1</v>
      </c>
      <c r="L29" s="8" t="s">
        <v>72</v>
      </c>
      <c r="M29" s="14" t="e">
        <f>M24/M19</f>
        <v>#DIV/0!</v>
      </c>
      <c r="N29" s="8" t="s">
        <v>19</v>
      </c>
    </row>
    <row r="30" spans="1:14" ht="15.75">
      <c r="A30" s="12" t="s">
        <v>15</v>
      </c>
      <c r="B30" s="105">
        <v>1</v>
      </c>
      <c r="C30" s="5">
        <v>1</v>
      </c>
      <c r="L30" s="8" t="s">
        <v>73</v>
      </c>
      <c r="M30" s="14" t="e">
        <f>M25/M20</f>
        <v>#DIV/0!</v>
      </c>
      <c r="N30" s="8" t="s">
        <v>19</v>
      </c>
    </row>
    <row r="31" spans="1:14" ht="15.75">
      <c r="A31" s="12" t="s">
        <v>31</v>
      </c>
      <c r="B31" s="105">
        <v>1</v>
      </c>
      <c r="C31" s="5">
        <v>1</v>
      </c>
      <c r="L31" s="8" t="s">
        <v>143</v>
      </c>
      <c r="M31" s="14" t="e">
        <f>M26/M21</f>
        <v>#DIV/0!</v>
      </c>
      <c r="N31" s="8" t="s">
        <v>19</v>
      </c>
    </row>
    <row r="32" spans="1:3" ht="12.75">
      <c r="A32" s="12" t="s">
        <v>30</v>
      </c>
      <c r="B32" s="105">
        <v>1</v>
      </c>
      <c r="C32" s="5">
        <v>1</v>
      </c>
    </row>
    <row r="34" spans="1:13" ht="12.75">
      <c r="A34" s="10">
        <v>1</v>
      </c>
      <c r="L34" s="8" t="s">
        <v>16</v>
      </c>
      <c r="M34" s="13"/>
    </row>
    <row r="35" spans="1:14" ht="15.75">
      <c r="A35" s="11" t="s">
        <v>170</v>
      </c>
      <c r="B35" s="12" t="s">
        <v>4</v>
      </c>
      <c r="C35" s="12" t="s">
        <v>3</v>
      </c>
      <c r="J35" s="13"/>
      <c r="L35" s="8" t="s">
        <v>67</v>
      </c>
      <c r="M35" s="13">
        <f>2*(B40-B41)*(0.5*C48+C47+C46+C45+C44+C43+0.5*C42)</f>
        <v>0</v>
      </c>
      <c r="N35" s="8" t="s">
        <v>33</v>
      </c>
    </row>
    <row r="36" spans="1:15" ht="15.75">
      <c r="A36" s="12" t="s">
        <v>5</v>
      </c>
      <c r="B36" s="4">
        <v>1</v>
      </c>
      <c r="C36" s="5">
        <v>1</v>
      </c>
      <c r="L36" s="8" t="s">
        <v>66</v>
      </c>
      <c r="M36" s="13">
        <f>2*(B40-B41)*(0.5*C48+C47+C46+C45+C44+C43+C42+C41+0.5*C40)</f>
        <v>0</v>
      </c>
      <c r="N36" s="8" t="s">
        <v>33</v>
      </c>
      <c r="O36" s="13"/>
    </row>
    <row r="37" spans="1:14" ht="15.75">
      <c r="A37" s="12" t="s">
        <v>6</v>
      </c>
      <c r="B37" s="4">
        <v>1</v>
      </c>
      <c r="C37" s="5">
        <v>1</v>
      </c>
      <c r="L37" s="8" t="s">
        <v>68</v>
      </c>
      <c r="M37" s="13">
        <f>2*(B40-B41)*(0.5*C48+C47+C46+C45+C44+C43+C42+C41+C40+C39+0.5*C38)</f>
        <v>0</v>
      </c>
      <c r="N37" s="8" t="s">
        <v>33</v>
      </c>
    </row>
    <row r="38" spans="1:13" ht="12.75">
      <c r="A38" s="12" t="s">
        <v>7</v>
      </c>
      <c r="B38" s="4">
        <v>1</v>
      </c>
      <c r="C38" s="5">
        <v>1</v>
      </c>
      <c r="J38" s="13"/>
      <c r="M38" s="13"/>
    </row>
    <row r="39" spans="1:13" ht="12.75">
      <c r="A39" s="12" t="s">
        <v>8</v>
      </c>
      <c r="B39" s="4">
        <v>1</v>
      </c>
      <c r="C39" s="5">
        <v>1</v>
      </c>
      <c r="L39" s="8" t="s">
        <v>18</v>
      </c>
      <c r="M39" s="13"/>
    </row>
    <row r="40" spans="1:14" ht="15.75">
      <c r="A40" s="12" t="s">
        <v>9</v>
      </c>
      <c r="B40" s="104">
        <v>1</v>
      </c>
      <c r="C40" s="19">
        <v>1</v>
      </c>
      <c r="L40" s="8" t="s">
        <v>69</v>
      </c>
      <c r="M40" s="13">
        <f>2*(B40-B41)*(B40-B41)*(C47+2*C46+3*C45+4*C44+5*C43+3*C42)</f>
        <v>0</v>
      </c>
      <c r="N40" s="8" t="s">
        <v>34</v>
      </c>
    </row>
    <row r="41" spans="1:14" ht="15.75">
      <c r="A41" s="12" t="s">
        <v>10</v>
      </c>
      <c r="B41" s="105">
        <v>1</v>
      </c>
      <c r="C41" s="5">
        <v>1</v>
      </c>
      <c r="L41" s="8" t="s">
        <v>70</v>
      </c>
      <c r="M41" s="13">
        <f>2*(B40-B41)*(B40-B41)*(C47+2*C46+3*C45+4*C44+5*C43+6*C42+7*C41+4*C40)</f>
        <v>0</v>
      </c>
      <c r="N41" s="8" t="s">
        <v>34</v>
      </c>
    </row>
    <row r="42" spans="1:14" ht="15.75">
      <c r="A42" s="12" t="s">
        <v>11</v>
      </c>
      <c r="B42" s="105">
        <v>1</v>
      </c>
      <c r="C42" s="5">
        <v>1</v>
      </c>
      <c r="L42" s="8" t="s">
        <v>71</v>
      </c>
      <c r="M42" s="13">
        <f>2*(B40-B41)*(B40-B41)*(C47+2*C46+3*C45+4*C44+5*C43+6*C42+7*C41+8*C40+9*C39+5*C38)</f>
        <v>0</v>
      </c>
      <c r="N42" s="8" t="s">
        <v>34</v>
      </c>
    </row>
    <row r="43" spans="1:10" ht="12.75">
      <c r="A43" s="12" t="s">
        <v>12</v>
      </c>
      <c r="B43" s="105">
        <v>1</v>
      </c>
      <c r="C43" s="5">
        <v>1</v>
      </c>
      <c r="J43" s="13"/>
    </row>
    <row r="44" spans="1:12" ht="12.75">
      <c r="A44" s="12" t="s">
        <v>13</v>
      </c>
      <c r="B44" s="105">
        <v>1</v>
      </c>
      <c r="C44" s="5">
        <v>1</v>
      </c>
      <c r="L44" s="8" t="s">
        <v>20</v>
      </c>
    </row>
    <row r="45" spans="1:14" ht="15.75">
      <c r="A45" s="12" t="s">
        <v>14</v>
      </c>
      <c r="B45" s="105">
        <v>1</v>
      </c>
      <c r="C45" s="5">
        <v>1</v>
      </c>
      <c r="L45" s="8" t="s">
        <v>72</v>
      </c>
      <c r="M45" s="14" t="e">
        <f>M40/M35</f>
        <v>#DIV/0!</v>
      </c>
      <c r="N45" s="8" t="s">
        <v>19</v>
      </c>
    </row>
    <row r="46" spans="1:14" ht="15.75">
      <c r="A46" s="12" t="s">
        <v>15</v>
      </c>
      <c r="B46" s="105">
        <v>1</v>
      </c>
      <c r="C46" s="5">
        <v>1</v>
      </c>
      <c r="J46" s="14"/>
      <c r="L46" s="8" t="s">
        <v>73</v>
      </c>
      <c r="M46" s="14" t="e">
        <f>M41/M36</f>
        <v>#DIV/0!</v>
      </c>
      <c r="N46" s="8" t="s">
        <v>19</v>
      </c>
    </row>
    <row r="47" spans="1:14" ht="15.75">
      <c r="A47" s="12" t="s">
        <v>31</v>
      </c>
      <c r="B47" s="105">
        <v>1</v>
      </c>
      <c r="C47" s="5">
        <v>1</v>
      </c>
      <c r="J47" s="14"/>
      <c r="L47" s="8" t="s">
        <v>143</v>
      </c>
      <c r="M47" s="14" t="e">
        <f>M42/M37</f>
        <v>#DIV/0!</v>
      </c>
      <c r="N47" s="8" t="s">
        <v>19</v>
      </c>
    </row>
    <row r="48" spans="1:3" ht="12.75">
      <c r="A48" s="12" t="s">
        <v>30</v>
      </c>
      <c r="B48" s="105">
        <v>1</v>
      </c>
      <c r="C48" s="5">
        <v>1</v>
      </c>
    </row>
    <row r="50" spans="1:12" ht="12.75">
      <c r="A50" s="10">
        <v>2</v>
      </c>
      <c r="L50" s="8" t="s">
        <v>16</v>
      </c>
    </row>
    <row r="51" spans="1:14" ht="15.75">
      <c r="A51" s="11" t="s">
        <v>171</v>
      </c>
      <c r="B51" s="12" t="s">
        <v>4</v>
      </c>
      <c r="C51" s="12" t="s">
        <v>3</v>
      </c>
      <c r="J51" s="13"/>
      <c r="L51" s="8" t="s">
        <v>67</v>
      </c>
      <c r="M51" s="13">
        <f>2*(B56-B57)*(0.5*C64+C63+C62+C61+C60+C59+0.5*C58)</f>
        <v>0</v>
      </c>
      <c r="N51" s="8" t="s">
        <v>33</v>
      </c>
    </row>
    <row r="52" spans="1:14" ht="15.75">
      <c r="A52" s="12" t="s">
        <v>5</v>
      </c>
      <c r="B52" s="4">
        <v>1</v>
      </c>
      <c r="C52" s="5">
        <v>1</v>
      </c>
      <c r="L52" s="8" t="s">
        <v>66</v>
      </c>
      <c r="M52" s="13">
        <f>2*(B56-B57)*(0.5*C64+C63+C62+C61+C60+C59+C58+C57+0.5*C56)</f>
        <v>0</v>
      </c>
      <c r="N52" s="8" t="s">
        <v>33</v>
      </c>
    </row>
    <row r="53" spans="1:14" ht="15.75">
      <c r="A53" s="12" t="s">
        <v>6</v>
      </c>
      <c r="B53" s="4">
        <v>1</v>
      </c>
      <c r="C53" s="5">
        <v>1</v>
      </c>
      <c r="L53" s="8" t="s">
        <v>68</v>
      </c>
      <c r="M53" s="13">
        <f>2*(B56-B57)*(0.5*C64+C63+C62+C61+C60+C59+C58+C57+C56+C55+0.5*C54)</f>
        <v>0</v>
      </c>
      <c r="N53" s="8" t="s">
        <v>33</v>
      </c>
    </row>
    <row r="54" spans="1:15" ht="12.75">
      <c r="A54" s="12" t="s">
        <v>7</v>
      </c>
      <c r="B54" s="4">
        <v>1</v>
      </c>
      <c r="C54" s="5">
        <v>1</v>
      </c>
      <c r="J54" s="13"/>
      <c r="M54" s="13"/>
      <c r="O54" s="13"/>
    </row>
    <row r="55" spans="1:13" ht="12.75">
      <c r="A55" s="12" t="s">
        <v>8</v>
      </c>
      <c r="B55" s="4">
        <v>1</v>
      </c>
      <c r="C55" s="5">
        <v>1</v>
      </c>
      <c r="L55" s="8" t="s">
        <v>18</v>
      </c>
      <c r="M55" s="13"/>
    </row>
    <row r="56" spans="1:14" ht="15.75">
      <c r="A56" s="12" t="s">
        <v>9</v>
      </c>
      <c r="B56" s="104">
        <v>1</v>
      </c>
      <c r="C56" s="19">
        <v>1</v>
      </c>
      <c r="L56" s="8" t="s">
        <v>69</v>
      </c>
      <c r="M56" s="13">
        <f>2*(B56-B57)*(B56-B57)*(C63+2*C62+3*C61+4*C60+5*C59+3*C58)</f>
        <v>0</v>
      </c>
      <c r="N56" s="8" t="s">
        <v>34</v>
      </c>
    </row>
    <row r="57" spans="1:14" ht="15.75">
      <c r="A57" s="12" t="s">
        <v>10</v>
      </c>
      <c r="B57" s="105">
        <v>1</v>
      </c>
      <c r="C57" s="5">
        <v>1</v>
      </c>
      <c r="L57" s="8" t="s">
        <v>70</v>
      </c>
      <c r="M57" s="13">
        <f>2*(B56-B57)*(B56-B57)*(C63+2*C62+3*C61+4*C60+5*C59+6*C58+7*C57+4*C56)</f>
        <v>0</v>
      </c>
      <c r="N57" s="8" t="s">
        <v>34</v>
      </c>
    </row>
    <row r="58" spans="1:14" ht="15.75">
      <c r="A58" s="12" t="s">
        <v>11</v>
      </c>
      <c r="B58" s="105">
        <v>1</v>
      </c>
      <c r="C58" s="5">
        <v>1</v>
      </c>
      <c r="L58" s="8" t="s">
        <v>71</v>
      </c>
      <c r="M58" s="13">
        <f>2*(B56-B57)*(B56-B57)*(C63+2*C62+3*C61+4*C60+5*C59+6*C58+7*C57+8*C56+9*C55+5*C54)</f>
        <v>0</v>
      </c>
      <c r="N58" s="8" t="s">
        <v>34</v>
      </c>
    </row>
    <row r="59" spans="1:10" ht="12.75">
      <c r="A59" s="12" t="s">
        <v>12</v>
      </c>
      <c r="B59" s="105">
        <v>1</v>
      </c>
      <c r="C59" s="5">
        <v>1</v>
      </c>
      <c r="J59" s="13"/>
    </row>
    <row r="60" spans="1:12" ht="12.75">
      <c r="A60" s="12" t="s">
        <v>13</v>
      </c>
      <c r="B60" s="105">
        <v>1</v>
      </c>
      <c r="C60" s="5">
        <v>1</v>
      </c>
      <c r="L60" s="8" t="s">
        <v>20</v>
      </c>
    </row>
    <row r="61" spans="1:14" ht="15.75">
      <c r="A61" s="12" t="s">
        <v>14</v>
      </c>
      <c r="B61" s="105">
        <v>1</v>
      </c>
      <c r="C61" s="5">
        <v>1</v>
      </c>
      <c r="L61" s="8" t="s">
        <v>72</v>
      </c>
      <c r="M61" s="14" t="e">
        <f>M56/M51</f>
        <v>#DIV/0!</v>
      </c>
      <c r="N61" s="8" t="s">
        <v>19</v>
      </c>
    </row>
    <row r="62" spans="1:14" ht="15.75">
      <c r="A62" s="12" t="s">
        <v>15</v>
      </c>
      <c r="B62" s="105">
        <v>1</v>
      </c>
      <c r="C62" s="5">
        <v>1</v>
      </c>
      <c r="J62" s="14"/>
      <c r="L62" s="8" t="s">
        <v>73</v>
      </c>
      <c r="M62" s="14" t="e">
        <f>M57/M52</f>
        <v>#DIV/0!</v>
      </c>
      <c r="N62" s="8" t="s">
        <v>19</v>
      </c>
    </row>
    <row r="63" spans="1:14" ht="15.75">
      <c r="A63" s="12" t="s">
        <v>31</v>
      </c>
      <c r="B63" s="105">
        <v>1</v>
      </c>
      <c r="C63" s="5">
        <v>1</v>
      </c>
      <c r="J63" s="14"/>
      <c r="L63" s="8" t="s">
        <v>143</v>
      </c>
      <c r="M63" s="14" t="e">
        <f>M58/M53</f>
        <v>#DIV/0!</v>
      </c>
      <c r="N63" s="8" t="s">
        <v>19</v>
      </c>
    </row>
    <row r="64" spans="1:3" ht="12.75">
      <c r="A64" s="12" t="s">
        <v>30</v>
      </c>
      <c r="B64" s="105">
        <v>1</v>
      </c>
      <c r="C64" s="5">
        <v>1</v>
      </c>
    </row>
    <row r="65" ht="12.75">
      <c r="J65" s="15"/>
    </row>
    <row r="66" spans="1:12" ht="12.75">
      <c r="A66" s="10">
        <v>3</v>
      </c>
      <c r="L66" s="8" t="s">
        <v>16</v>
      </c>
    </row>
    <row r="67" spans="1:14" ht="15.75">
      <c r="A67" s="11" t="s">
        <v>172</v>
      </c>
      <c r="B67" s="12" t="s">
        <v>4</v>
      </c>
      <c r="C67" s="12" t="s">
        <v>3</v>
      </c>
      <c r="J67" s="13"/>
      <c r="L67" s="8" t="s">
        <v>67</v>
      </c>
      <c r="M67" s="13">
        <f>2*(B72-B73)*(0.5*C80+C79+C78+C77+C76+C75+0.5*C74)</f>
        <v>0</v>
      </c>
      <c r="N67" s="8" t="s">
        <v>33</v>
      </c>
    </row>
    <row r="68" spans="1:14" ht="15.75">
      <c r="A68" s="12" t="s">
        <v>5</v>
      </c>
      <c r="B68" s="4">
        <v>1</v>
      </c>
      <c r="C68" s="5">
        <v>1</v>
      </c>
      <c r="L68" s="8" t="s">
        <v>66</v>
      </c>
      <c r="M68" s="13">
        <f>2*(B72-B73)*(0.5*C80+C79+C78+C77+C76+C75+C74+C73+0.5*C72)</f>
        <v>0</v>
      </c>
      <c r="N68" s="8" t="s">
        <v>33</v>
      </c>
    </row>
    <row r="69" spans="1:14" ht="15.75">
      <c r="A69" s="12" t="s">
        <v>6</v>
      </c>
      <c r="B69" s="4">
        <v>1</v>
      </c>
      <c r="C69" s="5">
        <v>1</v>
      </c>
      <c r="L69" s="8" t="s">
        <v>68</v>
      </c>
      <c r="M69" s="13">
        <f>2*(B72-B73)*(0.5*C80+C79+C78+C77+C76+C75+C74+C73+C72+C71+0.5*C70)</f>
        <v>0</v>
      </c>
      <c r="N69" s="8" t="s">
        <v>33</v>
      </c>
    </row>
    <row r="70" spans="1:15" ht="12.75">
      <c r="A70" s="12" t="s">
        <v>7</v>
      </c>
      <c r="B70" s="4">
        <v>1</v>
      </c>
      <c r="C70" s="5">
        <v>1</v>
      </c>
      <c r="J70" s="13"/>
      <c r="M70" s="13"/>
      <c r="O70" s="13"/>
    </row>
    <row r="71" spans="1:13" ht="12.75">
      <c r="A71" s="12" t="s">
        <v>8</v>
      </c>
      <c r="B71" s="4">
        <v>1</v>
      </c>
      <c r="C71" s="5">
        <v>1</v>
      </c>
      <c r="L71" s="8" t="s">
        <v>18</v>
      </c>
      <c r="M71" s="13"/>
    </row>
    <row r="72" spans="1:14" ht="15.75">
      <c r="A72" s="12" t="s">
        <v>9</v>
      </c>
      <c r="B72" s="104">
        <v>1</v>
      </c>
      <c r="C72" s="19">
        <v>1</v>
      </c>
      <c r="L72" s="8" t="s">
        <v>69</v>
      </c>
      <c r="M72" s="13">
        <f>2*(B72-B73)*(B72-B73)*(C79+2*C78+3*C77+4*C76+5*C75+3*C74)</f>
        <v>0</v>
      </c>
      <c r="N72" s="8" t="s">
        <v>34</v>
      </c>
    </row>
    <row r="73" spans="1:14" ht="15.75">
      <c r="A73" s="12" t="s">
        <v>10</v>
      </c>
      <c r="B73" s="105">
        <v>1</v>
      </c>
      <c r="C73" s="5">
        <v>1</v>
      </c>
      <c r="L73" s="8" t="s">
        <v>70</v>
      </c>
      <c r="M73" s="13">
        <f>2*(B72-B73)*(B72-B73)*(C79+2*C78+3*C77+4*C76+5*C75+6*C74+7*C73+4*C72)</f>
        <v>0</v>
      </c>
      <c r="N73" s="8" t="s">
        <v>34</v>
      </c>
    </row>
    <row r="74" spans="1:14" ht="15.75">
      <c r="A74" s="12" t="s">
        <v>11</v>
      </c>
      <c r="B74" s="105">
        <v>1</v>
      </c>
      <c r="C74" s="5">
        <v>1</v>
      </c>
      <c r="L74" s="8" t="s">
        <v>71</v>
      </c>
      <c r="M74" s="13">
        <f>2*(B72-B73)*(B72-B73)*(C79+2*C78+3*C77+4*C76+5*C75+6*C74+7*C73+8*C72+9*C71+5*C70)</f>
        <v>0</v>
      </c>
      <c r="N74" s="8" t="s">
        <v>34</v>
      </c>
    </row>
    <row r="75" spans="1:10" ht="12.75">
      <c r="A75" s="12" t="s">
        <v>12</v>
      </c>
      <c r="B75" s="105">
        <v>1</v>
      </c>
      <c r="C75" s="5">
        <v>1</v>
      </c>
      <c r="J75" s="13"/>
    </row>
    <row r="76" spans="1:12" ht="12.75">
      <c r="A76" s="12" t="s">
        <v>13</v>
      </c>
      <c r="B76" s="105">
        <v>1</v>
      </c>
      <c r="C76" s="5">
        <v>1</v>
      </c>
      <c r="L76" s="8" t="s">
        <v>20</v>
      </c>
    </row>
    <row r="77" spans="1:14" ht="15.75">
      <c r="A77" s="12" t="s">
        <v>14</v>
      </c>
      <c r="B77" s="105">
        <v>1</v>
      </c>
      <c r="C77" s="5">
        <v>1</v>
      </c>
      <c r="L77" s="8" t="s">
        <v>72</v>
      </c>
      <c r="M77" s="14" t="e">
        <f>M72/M67</f>
        <v>#DIV/0!</v>
      </c>
      <c r="N77" s="8" t="s">
        <v>19</v>
      </c>
    </row>
    <row r="78" spans="1:14" ht="15.75">
      <c r="A78" s="12" t="s">
        <v>15</v>
      </c>
      <c r="B78" s="105">
        <v>1</v>
      </c>
      <c r="C78" s="5">
        <v>1</v>
      </c>
      <c r="J78" s="14"/>
      <c r="L78" s="8" t="s">
        <v>73</v>
      </c>
      <c r="M78" s="14" t="e">
        <f>M73/M68</f>
        <v>#DIV/0!</v>
      </c>
      <c r="N78" s="8" t="s">
        <v>19</v>
      </c>
    </row>
    <row r="79" spans="1:14" ht="15.75">
      <c r="A79" s="12" t="s">
        <v>31</v>
      </c>
      <c r="B79" s="105">
        <v>1</v>
      </c>
      <c r="C79" s="5">
        <v>1</v>
      </c>
      <c r="J79" s="14"/>
      <c r="L79" s="8" t="s">
        <v>143</v>
      </c>
      <c r="M79" s="14" t="e">
        <f>M74/M69</f>
        <v>#DIV/0!</v>
      </c>
      <c r="N79" s="8" t="s">
        <v>19</v>
      </c>
    </row>
    <row r="80" spans="1:3" ht="12.75">
      <c r="A80" s="12" t="s">
        <v>30</v>
      </c>
      <c r="B80" s="105">
        <v>1</v>
      </c>
      <c r="C80" s="5">
        <v>1</v>
      </c>
    </row>
    <row r="81" ht="12.75">
      <c r="J81" s="15"/>
    </row>
    <row r="82" spans="1:12" ht="12.75">
      <c r="A82" s="10">
        <v>4</v>
      </c>
      <c r="L82" s="8" t="s">
        <v>16</v>
      </c>
    </row>
    <row r="83" spans="1:14" ht="15.75">
      <c r="A83" s="11" t="s">
        <v>173</v>
      </c>
      <c r="B83" s="12" t="s">
        <v>4</v>
      </c>
      <c r="C83" s="12" t="s">
        <v>3</v>
      </c>
      <c r="J83" s="13"/>
      <c r="L83" s="8" t="s">
        <v>67</v>
      </c>
      <c r="M83" s="13">
        <f>2*(B88-B89)*(0.5*C96+C95+C94+C93+C92+C91+0.5*C90)</f>
        <v>0</v>
      </c>
      <c r="N83" s="8" t="s">
        <v>33</v>
      </c>
    </row>
    <row r="84" spans="1:14" ht="15.75">
      <c r="A84" s="12" t="s">
        <v>5</v>
      </c>
      <c r="B84" s="4">
        <v>1</v>
      </c>
      <c r="C84" s="5">
        <v>1</v>
      </c>
      <c r="L84" s="8" t="s">
        <v>66</v>
      </c>
      <c r="M84" s="13">
        <f>2*(B88-B89)*(0.5*C96+C95+C94+C93+C92+C91+C90+C89+0.5*C88)</f>
        <v>0</v>
      </c>
      <c r="N84" s="8" t="s">
        <v>33</v>
      </c>
    </row>
    <row r="85" spans="1:14" ht="15.75">
      <c r="A85" s="12" t="s">
        <v>6</v>
      </c>
      <c r="B85" s="4">
        <v>1</v>
      </c>
      <c r="C85" s="5">
        <v>1</v>
      </c>
      <c r="L85" s="8" t="s">
        <v>68</v>
      </c>
      <c r="M85" s="13">
        <f>2*(B88-B89)*(0.5*C96+C95+C94+C93+C92+C91+C90+C89+C88+C87+0.5*C86)</f>
        <v>0</v>
      </c>
      <c r="N85" s="8" t="s">
        <v>33</v>
      </c>
    </row>
    <row r="86" spans="1:15" ht="12.75">
      <c r="A86" s="12" t="s">
        <v>7</v>
      </c>
      <c r="B86" s="4">
        <v>1</v>
      </c>
      <c r="C86" s="5">
        <v>1</v>
      </c>
      <c r="J86" s="13"/>
      <c r="M86" s="13"/>
      <c r="O86" s="13"/>
    </row>
    <row r="87" spans="1:13" ht="12.75">
      <c r="A87" s="12" t="s">
        <v>8</v>
      </c>
      <c r="B87" s="4">
        <v>1</v>
      </c>
      <c r="C87" s="5">
        <v>1</v>
      </c>
      <c r="L87" s="8" t="s">
        <v>18</v>
      </c>
      <c r="M87" s="13"/>
    </row>
    <row r="88" spans="1:14" ht="15.75">
      <c r="A88" s="12" t="s">
        <v>9</v>
      </c>
      <c r="B88" s="104">
        <v>1</v>
      </c>
      <c r="C88" s="19">
        <v>1</v>
      </c>
      <c r="L88" s="8" t="s">
        <v>69</v>
      </c>
      <c r="M88" s="13">
        <f>2*(B88-B89)*(B88-B89)*(C95+2*C94+3*C93+4*C92+5*C91+3*C90)</f>
        <v>0</v>
      </c>
      <c r="N88" s="8" t="s">
        <v>34</v>
      </c>
    </row>
    <row r="89" spans="1:14" ht="15.75">
      <c r="A89" s="12" t="s">
        <v>10</v>
      </c>
      <c r="B89" s="105">
        <v>1</v>
      </c>
      <c r="C89" s="5">
        <v>1</v>
      </c>
      <c r="L89" s="8" t="s">
        <v>70</v>
      </c>
      <c r="M89" s="13">
        <f>2*(B88-B89)*(B88-B89)*(C95+2*C94+3*C93+4*C92+5*C91+6*C90+7*C89+4*C88)</f>
        <v>0</v>
      </c>
      <c r="N89" s="8" t="s">
        <v>34</v>
      </c>
    </row>
    <row r="90" spans="1:14" ht="15.75">
      <c r="A90" s="12" t="s">
        <v>11</v>
      </c>
      <c r="B90" s="105">
        <v>1</v>
      </c>
      <c r="C90" s="5">
        <v>1</v>
      </c>
      <c r="L90" s="8" t="s">
        <v>71</v>
      </c>
      <c r="M90" s="13">
        <f>2*(B88-B89)*(B88-B89)*(C95+2*C94+3*C93+4*C92+5*C91+6*C90+7*C89+8*C88+9*C87+5*C86)</f>
        <v>0</v>
      </c>
      <c r="N90" s="8" t="s">
        <v>34</v>
      </c>
    </row>
    <row r="91" spans="1:10" ht="12.75">
      <c r="A91" s="12" t="s">
        <v>12</v>
      </c>
      <c r="B91" s="105">
        <v>1</v>
      </c>
      <c r="C91" s="5">
        <v>1</v>
      </c>
      <c r="J91" s="13"/>
    </row>
    <row r="92" spans="1:12" ht="12.75">
      <c r="A92" s="12" t="s">
        <v>13</v>
      </c>
      <c r="B92" s="105">
        <v>1</v>
      </c>
      <c r="C92" s="5">
        <v>1</v>
      </c>
      <c r="L92" s="8" t="s">
        <v>20</v>
      </c>
    </row>
    <row r="93" spans="1:14" ht="15.75">
      <c r="A93" s="12" t="s">
        <v>14</v>
      </c>
      <c r="B93" s="105">
        <v>1</v>
      </c>
      <c r="C93" s="5">
        <v>1</v>
      </c>
      <c r="L93" s="8" t="s">
        <v>72</v>
      </c>
      <c r="M93" s="14" t="e">
        <f>M88/M83</f>
        <v>#DIV/0!</v>
      </c>
      <c r="N93" s="8" t="s">
        <v>19</v>
      </c>
    </row>
    <row r="94" spans="1:14" ht="15.75">
      <c r="A94" s="12" t="s">
        <v>15</v>
      </c>
      <c r="B94" s="105">
        <v>1</v>
      </c>
      <c r="C94" s="5">
        <v>1</v>
      </c>
      <c r="J94" s="14"/>
      <c r="L94" s="8" t="s">
        <v>73</v>
      </c>
      <c r="M94" s="14" t="e">
        <f>M89/M84</f>
        <v>#DIV/0!</v>
      </c>
      <c r="N94" s="8" t="s">
        <v>19</v>
      </c>
    </row>
    <row r="95" spans="1:14" ht="15.75">
      <c r="A95" s="12" t="s">
        <v>31</v>
      </c>
      <c r="B95" s="105">
        <v>1</v>
      </c>
      <c r="C95" s="5">
        <v>1</v>
      </c>
      <c r="J95" s="14"/>
      <c r="L95" s="8" t="s">
        <v>143</v>
      </c>
      <c r="M95" s="14" t="e">
        <f>M90/M85</f>
        <v>#DIV/0!</v>
      </c>
      <c r="N95" s="8" t="s">
        <v>19</v>
      </c>
    </row>
    <row r="96" spans="1:3" ht="12.75">
      <c r="A96" s="12" t="s">
        <v>30</v>
      </c>
      <c r="B96" s="105">
        <v>1</v>
      </c>
      <c r="C96" s="5">
        <v>1</v>
      </c>
    </row>
    <row r="97" ht="12.75">
      <c r="J97" s="15"/>
    </row>
    <row r="98" spans="1:12" ht="12.75">
      <c r="A98" s="10">
        <v>5</v>
      </c>
      <c r="L98" s="8" t="s">
        <v>16</v>
      </c>
    </row>
    <row r="99" spans="1:14" ht="15.75">
      <c r="A99" s="16" t="s">
        <v>21</v>
      </c>
      <c r="B99" s="12" t="s">
        <v>4</v>
      </c>
      <c r="C99" s="12" t="s">
        <v>3</v>
      </c>
      <c r="J99" s="13"/>
      <c r="L99" s="8" t="s">
        <v>67</v>
      </c>
      <c r="M99" s="13">
        <f>2*(B104-B105)*(0.5*C112+C111+C110+C109+C108+C107+0.5*C106)</f>
        <v>0</v>
      </c>
      <c r="N99" s="8" t="s">
        <v>33</v>
      </c>
    </row>
    <row r="100" spans="1:14" ht="15.75">
      <c r="A100" s="12" t="s">
        <v>5</v>
      </c>
      <c r="B100" s="4">
        <v>1</v>
      </c>
      <c r="C100" s="5">
        <v>1</v>
      </c>
      <c r="L100" s="8" t="s">
        <v>66</v>
      </c>
      <c r="M100" s="13">
        <f>2*(B104-B105)*(0.5*C112+C111+C110+C109+C108+C107+C106+C105+0.5*C104)</f>
        <v>0</v>
      </c>
      <c r="N100" s="8" t="s">
        <v>33</v>
      </c>
    </row>
    <row r="101" spans="1:14" ht="15.75">
      <c r="A101" s="12" t="s">
        <v>6</v>
      </c>
      <c r="B101" s="4">
        <v>1</v>
      </c>
      <c r="C101" s="5">
        <v>1</v>
      </c>
      <c r="L101" s="8" t="s">
        <v>68</v>
      </c>
      <c r="M101" s="13">
        <f>2*(B104-B105)*(0.5*C112+C111+C110+C109+C108+C107+C106+C105+C104+C103+0.5*C102)</f>
        <v>0</v>
      </c>
      <c r="N101" s="8" t="s">
        <v>33</v>
      </c>
    </row>
    <row r="102" spans="1:15" ht="12.75">
      <c r="A102" s="12" t="s">
        <v>7</v>
      </c>
      <c r="B102" s="4">
        <v>1</v>
      </c>
      <c r="C102" s="5">
        <v>1</v>
      </c>
      <c r="J102" s="13"/>
      <c r="M102" s="13"/>
      <c r="O102" s="13"/>
    </row>
    <row r="103" spans="1:13" ht="12.75">
      <c r="A103" s="12" t="s">
        <v>8</v>
      </c>
      <c r="B103" s="4">
        <v>1</v>
      </c>
      <c r="C103" s="5">
        <v>1</v>
      </c>
      <c r="L103" s="8" t="s">
        <v>18</v>
      </c>
      <c r="M103" s="13"/>
    </row>
    <row r="104" spans="1:14" ht="15.75">
      <c r="A104" s="12" t="s">
        <v>9</v>
      </c>
      <c r="B104" s="104">
        <v>1</v>
      </c>
      <c r="C104" s="19">
        <v>1</v>
      </c>
      <c r="L104" s="8" t="s">
        <v>69</v>
      </c>
      <c r="M104" s="13">
        <f>2*(B104-B105)*(B104-B105)*(C111+2*C110+3*C109+4*C108+5*C107+3*C106)</f>
        <v>0</v>
      </c>
      <c r="N104" s="8" t="s">
        <v>34</v>
      </c>
    </row>
    <row r="105" spans="1:14" ht="15.75">
      <c r="A105" s="12" t="s">
        <v>10</v>
      </c>
      <c r="B105" s="105">
        <v>1</v>
      </c>
      <c r="C105" s="5">
        <v>1</v>
      </c>
      <c r="L105" s="8" t="s">
        <v>70</v>
      </c>
      <c r="M105" s="13">
        <f>2*(B104-B105)*(B104-B105)*(C111+2*C110+3*C109+4*C108+5*C107+6*C106+7*C105+4*C104)</f>
        <v>0</v>
      </c>
      <c r="N105" s="8" t="s">
        <v>34</v>
      </c>
    </row>
    <row r="106" spans="1:14" ht="15.75">
      <c r="A106" s="12" t="s">
        <v>11</v>
      </c>
      <c r="B106" s="105">
        <v>1</v>
      </c>
      <c r="C106" s="5">
        <v>1</v>
      </c>
      <c r="L106" s="8" t="s">
        <v>71</v>
      </c>
      <c r="M106" s="13">
        <f>2*(B104-B105)*(B104-B105)*(C111+2*C110+3*C109+4*C108+5*C107+6*C106+7*C105+8*C104+9*C103+5*C102)</f>
        <v>0</v>
      </c>
      <c r="N106" s="8" t="s">
        <v>34</v>
      </c>
    </row>
    <row r="107" spans="1:10" ht="12.75">
      <c r="A107" s="12" t="s">
        <v>12</v>
      </c>
      <c r="B107" s="105">
        <v>1</v>
      </c>
      <c r="C107" s="5">
        <v>1</v>
      </c>
      <c r="J107" s="13"/>
    </row>
    <row r="108" spans="1:12" ht="12.75">
      <c r="A108" s="12" t="s">
        <v>13</v>
      </c>
      <c r="B108" s="105">
        <v>1</v>
      </c>
      <c r="C108" s="5">
        <v>1</v>
      </c>
      <c r="L108" s="8" t="s">
        <v>20</v>
      </c>
    </row>
    <row r="109" spans="1:14" ht="15.75">
      <c r="A109" s="12" t="s">
        <v>14</v>
      </c>
      <c r="B109" s="105">
        <v>1</v>
      </c>
      <c r="C109" s="5">
        <v>1</v>
      </c>
      <c r="L109" s="8" t="s">
        <v>72</v>
      </c>
      <c r="M109" s="14" t="e">
        <f>M104/M99</f>
        <v>#DIV/0!</v>
      </c>
      <c r="N109" s="8" t="s">
        <v>19</v>
      </c>
    </row>
    <row r="110" spans="1:14" ht="15.75">
      <c r="A110" s="12" t="s">
        <v>15</v>
      </c>
      <c r="B110" s="105">
        <v>1</v>
      </c>
      <c r="C110" s="5">
        <v>1</v>
      </c>
      <c r="J110" s="14"/>
      <c r="L110" s="8" t="s">
        <v>73</v>
      </c>
      <c r="M110" s="14" t="e">
        <f>M105/M100</f>
        <v>#DIV/0!</v>
      </c>
      <c r="N110" s="8" t="s">
        <v>19</v>
      </c>
    </row>
    <row r="111" spans="1:14" ht="15.75">
      <c r="A111" s="12" t="s">
        <v>31</v>
      </c>
      <c r="B111" s="105">
        <v>1</v>
      </c>
      <c r="C111" s="5">
        <v>1</v>
      </c>
      <c r="J111" s="14"/>
      <c r="L111" s="8" t="s">
        <v>143</v>
      </c>
      <c r="M111" s="14" t="e">
        <f>M106/M101</f>
        <v>#DIV/0!</v>
      </c>
      <c r="N111" s="8" t="s">
        <v>19</v>
      </c>
    </row>
    <row r="112" spans="1:3" ht="12.75">
      <c r="A112" s="12" t="s">
        <v>30</v>
      </c>
      <c r="B112" s="105">
        <v>1</v>
      </c>
      <c r="C112" s="5">
        <v>1</v>
      </c>
    </row>
    <row r="113" spans="2:10" ht="12.75">
      <c r="B113" s="17"/>
      <c r="C113" s="18"/>
      <c r="J113" s="15"/>
    </row>
    <row r="114" spans="1:12" ht="12.75">
      <c r="A114" s="10">
        <v>6</v>
      </c>
      <c r="L114" s="8" t="s">
        <v>16</v>
      </c>
    </row>
    <row r="115" spans="1:14" ht="15.75">
      <c r="A115" s="16" t="s">
        <v>174</v>
      </c>
      <c r="B115" s="12" t="s">
        <v>4</v>
      </c>
      <c r="C115" s="12" t="s">
        <v>3</v>
      </c>
      <c r="J115" s="13"/>
      <c r="L115" s="8" t="s">
        <v>67</v>
      </c>
      <c r="M115" s="13">
        <f>2*(B120-B121)*(0.5*C128+C127+C126+C125+C124+C123+0.5*C122)</f>
        <v>0</v>
      </c>
      <c r="N115" s="8" t="s">
        <v>33</v>
      </c>
    </row>
    <row r="116" spans="1:14" ht="15.75">
      <c r="A116" s="12" t="s">
        <v>5</v>
      </c>
      <c r="B116" s="4">
        <v>1</v>
      </c>
      <c r="C116" s="5">
        <v>1</v>
      </c>
      <c r="L116" s="8" t="s">
        <v>66</v>
      </c>
      <c r="M116" s="13">
        <f>2*(B120-B121)*(0.5*C128+C127+C126+C125+C124+C123+C122+C121+0.5*C120)</f>
        <v>0</v>
      </c>
      <c r="N116" s="8" t="s">
        <v>33</v>
      </c>
    </row>
    <row r="117" spans="1:14" ht="15.75">
      <c r="A117" s="12" t="s">
        <v>6</v>
      </c>
      <c r="B117" s="4">
        <v>1</v>
      </c>
      <c r="C117" s="5">
        <v>1</v>
      </c>
      <c r="L117" s="8" t="s">
        <v>68</v>
      </c>
      <c r="M117" s="13">
        <f>2*(B120-B121)*(0.5*C128+C127+C126+C125+C124+C123+C122+C121+C120+C119+0.5*C118)</f>
        <v>0</v>
      </c>
      <c r="N117" s="8" t="s">
        <v>33</v>
      </c>
    </row>
    <row r="118" spans="1:15" ht="12.75">
      <c r="A118" s="12" t="s">
        <v>7</v>
      </c>
      <c r="B118" s="4">
        <v>1</v>
      </c>
      <c r="C118" s="5">
        <v>1</v>
      </c>
      <c r="J118" s="13"/>
      <c r="M118" s="13"/>
      <c r="O118" s="13"/>
    </row>
    <row r="119" spans="1:13" ht="12.75">
      <c r="A119" s="12" t="s">
        <v>8</v>
      </c>
      <c r="B119" s="4">
        <v>1</v>
      </c>
      <c r="C119" s="5">
        <v>1</v>
      </c>
      <c r="L119" s="8" t="s">
        <v>18</v>
      </c>
      <c r="M119" s="13"/>
    </row>
    <row r="120" spans="1:14" ht="15.75">
      <c r="A120" s="12" t="s">
        <v>9</v>
      </c>
      <c r="B120" s="104">
        <v>1</v>
      </c>
      <c r="C120" s="19">
        <v>1</v>
      </c>
      <c r="L120" s="8" t="s">
        <v>69</v>
      </c>
      <c r="M120" s="13">
        <f>2*(B120-B121)*(B120-B121)*(C127+2*C126+3*C125+4*C124+5*C123+3*C122)</f>
        <v>0</v>
      </c>
      <c r="N120" s="8" t="s">
        <v>34</v>
      </c>
    </row>
    <row r="121" spans="1:14" ht="15.75">
      <c r="A121" s="12" t="s">
        <v>10</v>
      </c>
      <c r="B121" s="105">
        <v>1</v>
      </c>
      <c r="C121" s="5">
        <v>1</v>
      </c>
      <c r="L121" s="8" t="s">
        <v>70</v>
      </c>
      <c r="M121" s="13">
        <f>2*(B120-B121)*(B120-B121)*(C127+2*C126+3*C125+4*C124+5*C123+6*C122+7*C121+4*C120)</f>
        <v>0</v>
      </c>
      <c r="N121" s="8" t="s">
        <v>34</v>
      </c>
    </row>
    <row r="122" spans="1:14" ht="15.75">
      <c r="A122" s="12" t="s">
        <v>11</v>
      </c>
      <c r="B122" s="105">
        <v>1</v>
      </c>
      <c r="C122" s="5">
        <v>1</v>
      </c>
      <c r="L122" s="8" t="s">
        <v>71</v>
      </c>
      <c r="M122" s="13">
        <f>2*(B120-B121)*(B120-B121)*(C127+2*C126+3*C125+4*C124+5*C123+6*C122+7*C121+8*C120+9*C119+5*C118)</f>
        <v>0</v>
      </c>
      <c r="N122" s="8" t="s">
        <v>34</v>
      </c>
    </row>
    <row r="123" spans="1:10" ht="12.75">
      <c r="A123" s="12" t="s">
        <v>12</v>
      </c>
      <c r="B123" s="105">
        <v>1</v>
      </c>
      <c r="C123" s="5">
        <v>1</v>
      </c>
      <c r="J123" s="13"/>
    </row>
    <row r="124" spans="1:12" ht="12.75">
      <c r="A124" s="12" t="s">
        <v>13</v>
      </c>
      <c r="B124" s="105">
        <v>1</v>
      </c>
      <c r="C124" s="5">
        <v>1</v>
      </c>
      <c r="L124" s="8" t="s">
        <v>20</v>
      </c>
    </row>
    <row r="125" spans="1:14" ht="15.75">
      <c r="A125" s="12" t="s">
        <v>14</v>
      </c>
      <c r="B125" s="105">
        <v>1</v>
      </c>
      <c r="C125" s="5">
        <v>1</v>
      </c>
      <c r="L125" s="8" t="s">
        <v>72</v>
      </c>
      <c r="M125" s="14" t="e">
        <f>M120/M115</f>
        <v>#DIV/0!</v>
      </c>
      <c r="N125" s="8" t="s">
        <v>19</v>
      </c>
    </row>
    <row r="126" spans="1:14" ht="15.75">
      <c r="A126" s="12" t="s">
        <v>15</v>
      </c>
      <c r="B126" s="105">
        <v>1</v>
      </c>
      <c r="C126" s="5">
        <v>1</v>
      </c>
      <c r="J126" s="14"/>
      <c r="L126" s="8" t="s">
        <v>73</v>
      </c>
      <c r="M126" s="14" t="e">
        <f>M121/M116</f>
        <v>#DIV/0!</v>
      </c>
      <c r="N126" s="8" t="s">
        <v>19</v>
      </c>
    </row>
    <row r="127" spans="1:14" ht="15.75">
      <c r="A127" s="12" t="s">
        <v>31</v>
      </c>
      <c r="B127" s="105">
        <v>1</v>
      </c>
      <c r="C127" s="5">
        <v>1</v>
      </c>
      <c r="J127" s="14"/>
      <c r="L127" s="8" t="s">
        <v>143</v>
      </c>
      <c r="M127" s="14" t="e">
        <f>M122/M117</f>
        <v>#DIV/0!</v>
      </c>
      <c r="N127" s="8" t="s">
        <v>19</v>
      </c>
    </row>
    <row r="128" spans="1:3" ht="12.75">
      <c r="A128" s="12" t="s">
        <v>30</v>
      </c>
      <c r="B128" s="105">
        <v>1</v>
      </c>
      <c r="C128" s="5">
        <v>1</v>
      </c>
    </row>
    <row r="129" ht="12.75">
      <c r="J129" s="15"/>
    </row>
    <row r="130" spans="1:12" ht="12.75">
      <c r="A130" s="10">
        <v>7</v>
      </c>
      <c r="L130" s="8" t="s">
        <v>16</v>
      </c>
    </row>
    <row r="131" spans="1:14" ht="15.75">
      <c r="A131" s="16" t="s">
        <v>175</v>
      </c>
      <c r="B131" s="12" t="s">
        <v>4</v>
      </c>
      <c r="C131" s="12" t="s">
        <v>3</v>
      </c>
      <c r="J131" s="13"/>
      <c r="L131" s="8" t="s">
        <v>67</v>
      </c>
      <c r="M131" s="13">
        <f>2*(B136-B137)*(0.5*C144+C143+C142+C141+C140+C139+0.5*C138)</f>
        <v>0</v>
      </c>
      <c r="N131" s="8" t="s">
        <v>33</v>
      </c>
    </row>
    <row r="132" spans="1:14" ht="15.75">
      <c r="A132" s="12" t="s">
        <v>5</v>
      </c>
      <c r="B132" s="4">
        <v>1</v>
      </c>
      <c r="C132" s="5">
        <v>1</v>
      </c>
      <c r="L132" s="8" t="s">
        <v>66</v>
      </c>
      <c r="M132" s="13">
        <f>2*(B136-B137)*(0.5*C144+C143+C142+C141+C140+C139+C138+C137+0.5*C136)</f>
        <v>0</v>
      </c>
      <c r="N132" s="8" t="s">
        <v>33</v>
      </c>
    </row>
    <row r="133" spans="1:14" ht="15.75">
      <c r="A133" s="12" t="s">
        <v>6</v>
      </c>
      <c r="B133" s="4">
        <v>1</v>
      </c>
      <c r="C133" s="5">
        <v>1</v>
      </c>
      <c r="L133" s="8" t="s">
        <v>68</v>
      </c>
      <c r="M133" s="13">
        <f>2*(B136-B137)*(0.5*C144+C143+C142+C141+C140+C139+C138+C137+C136+C135+0.5*C134)</f>
        <v>0</v>
      </c>
      <c r="N133" s="8" t="s">
        <v>33</v>
      </c>
    </row>
    <row r="134" spans="1:15" ht="12.75">
      <c r="A134" s="12" t="s">
        <v>7</v>
      </c>
      <c r="B134" s="4">
        <v>1</v>
      </c>
      <c r="C134" s="5">
        <v>1</v>
      </c>
      <c r="J134" s="13"/>
      <c r="M134" s="13"/>
      <c r="O134" s="13"/>
    </row>
    <row r="135" spans="1:13" ht="12.75">
      <c r="A135" s="12" t="s">
        <v>8</v>
      </c>
      <c r="B135" s="4">
        <v>1</v>
      </c>
      <c r="C135" s="5">
        <v>1</v>
      </c>
      <c r="L135" s="8" t="s">
        <v>18</v>
      </c>
      <c r="M135" s="13"/>
    </row>
    <row r="136" spans="1:14" ht="15.75">
      <c r="A136" s="12" t="s">
        <v>9</v>
      </c>
      <c r="B136" s="104">
        <v>1</v>
      </c>
      <c r="C136" s="19">
        <v>1</v>
      </c>
      <c r="L136" s="8" t="s">
        <v>69</v>
      </c>
      <c r="M136" s="13">
        <f>2*(B136-B137)*(B136-B137)*(C143+2*C142+3*C141+4*C140+5*C139+3*C138)</f>
        <v>0</v>
      </c>
      <c r="N136" s="8" t="s">
        <v>34</v>
      </c>
    </row>
    <row r="137" spans="1:14" ht="15.75">
      <c r="A137" s="12" t="s">
        <v>10</v>
      </c>
      <c r="B137" s="105">
        <v>1</v>
      </c>
      <c r="C137" s="5">
        <v>1</v>
      </c>
      <c r="L137" s="8" t="s">
        <v>70</v>
      </c>
      <c r="M137" s="13">
        <f>2*(B136-B137)*(B136-B137)*(C143+2*C142+3*C141+4*C140+5*C139+6*C138+7*C137+4*C136)</f>
        <v>0</v>
      </c>
      <c r="N137" s="8" t="s">
        <v>34</v>
      </c>
    </row>
    <row r="138" spans="1:14" ht="15.75">
      <c r="A138" s="12" t="s">
        <v>11</v>
      </c>
      <c r="B138" s="105">
        <v>1</v>
      </c>
      <c r="C138" s="5">
        <v>1</v>
      </c>
      <c r="L138" s="8" t="s">
        <v>71</v>
      </c>
      <c r="M138" s="13">
        <f>2*(B136-B137)*(B136-B137)*(C143+2*C142+3*C141+4*C140+5*C139+6*C138+7*C137+8*C136+9*C135+5*C134)</f>
        <v>0</v>
      </c>
      <c r="N138" s="8" t="s">
        <v>34</v>
      </c>
    </row>
    <row r="139" spans="1:10" ht="12.75">
      <c r="A139" s="12" t="s">
        <v>12</v>
      </c>
      <c r="B139" s="105">
        <v>1</v>
      </c>
      <c r="C139" s="5">
        <v>1</v>
      </c>
      <c r="J139" s="13"/>
    </row>
    <row r="140" spans="1:12" ht="12.75">
      <c r="A140" s="12" t="s">
        <v>13</v>
      </c>
      <c r="B140" s="105">
        <v>1</v>
      </c>
      <c r="C140" s="5">
        <v>1</v>
      </c>
      <c r="L140" s="8" t="s">
        <v>20</v>
      </c>
    </row>
    <row r="141" spans="1:14" ht="15.75">
      <c r="A141" s="12" t="s">
        <v>14</v>
      </c>
      <c r="B141" s="105">
        <v>1</v>
      </c>
      <c r="C141" s="5">
        <v>1</v>
      </c>
      <c r="L141" s="8" t="s">
        <v>72</v>
      </c>
      <c r="M141" s="14" t="e">
        <f>M136/M131</f>
        <v>#DIV/0!</v>
      </c>
      <c r="N141" s="8" t="s">
        <v>19</v>
      </c>
    </row>
    <row r="142" spans="1:14" ht="15.75">
      <c r="A142" s="12" t="s">
        <v>15</v>
      </c>
      <c r="B142" s="105">
        <v>1</v>
      </c>
      <c r="C142" s="5">
        <v>1</v>
      </c>
      <c r="J142" s="14"/>
      <c r="L142" s="8" t="s">
        <v>73</v>
      </c>
      <c r="M142" s="14" t="e">
        <f>M137/M132</f>
        <v>#DIV/0!</v>
      </c>
      <c r="N142" s="8" t="s">
        <v>19</v>
      </c>
    </row>
    <row r="143" spans="1:14" ht="15.75">
      <c r="A143" s="12" t="s">
        <v>31</v>
      </c>
      <c r="B143" s="105">
        <v>1</v>
      </c>
      <c r="C143" s="5">
        <v>1</v>
      </c>
      <c r="J143" s="14"/>
      <c r="L143" s="8" t="s">
        <v>143</v>
      </c>
      <c r="M143" s="14" t="e">
        <f>M138/M133</f>
        <v>#DIV/0!</v>
      </c>
      <c r="N143" s="8" t="s">
        <v>19</v>
      </c>
    </row>
    <row r="144" spans="1:3" ht="12.75">
      <c r="A144" s="12" t="s">
        <v>30</v>
      </c>
      <c r="B144" s="105">
        <v>1</v>
      </c>
      <c r="C144" s="5">
        <v>1</v>
      </c>
    </row>
    <row r="145" ht="12.75">
      <c r="J145" s="15"/>
    </row>
    <row r="146" spans="1:12" ht="12.75">
      <c r="A146" s="10">
        <v>8</v>
      </c>
      <c r="L146" s="8" t="s">
        <v>16</v>
      </c>
    </row>
    <row r="147" spans="1:14" ht="15.75">
      <c r="A147" s="16" t="s">
        <v>176</v>
      </c>
      <c r="B147" s="12" t="s">
        <v>4</v>
      </c>
      <c r="C147" s="12" t="s">
        <v>3</v>
      </c>
      <c r="J147" s="13"/>
      <c r="L147" s="8" t="s">
        <v>67</v>
      </c>
      <c r="M147" s="13">
        <f>2*(B152-B153)*(0.5*C160+C159+C158+C157+C156+C155+0.5*C154)</f>
        <v>0</v>
      </c>
      <c r="N147" s="8" t="s">
        <v>33</v>
      </c>
    </row>
    <row r="148" spans="1:14" ht="15.75">
      <c r="A148" s="12" t="s">
        <v>5</v>
      </c>
      <c r="B148" s="4">
        <v>1</v>
      </c>
      <c r="C148" s="5">
        <v>1</v>
      </c>
      <c r="L148" s="8" t="s">
        <v>66</v>
      </c>
      <c r="M148" s="13">
        <f>2*(B152-B153)*(0.5*C160+C159+C158+C157+C156+C155+C154+C153+0.5*C152)</f>
        <v>0</v>
      </c>
      <c r="N148" s="8" t="s">
        <v>33</v>
      </c>
    </row>
    <row r="149" spans="1:14" ht="15.75">
      <c r="A149" s="12" t="s">
        <v>6</v>
      </c>
      <c r="B149" s="4">
        <v>1</v>
      </c>
      <c r="C149" s="5">
        <v>1</v>
      </c>
      <c r="L149" s="8" t="s">
        <v>68</v>
      </c>
      <c r="M149" s="13">
        <f>2*(B152-B153)*(0.5*C160+C159+C158+C157+C156+C155+C154+C153+C152+C151+0.5*C150)</f>
        <v>0</v>
      </c>
      <c r="N149" s="8" t="s">
        <v>33</v>
      </c>
    </row>
    <row r="150" spans="1:15" ht="12.75">
      <c r="A150" s="12" t="s">
        <v>7</v>
      </c>
      <c r="B150" s="4">
        <v>1</v>
      </c>
      <c r="C150" s="5">
        <v>1</v>
      </c>
      <c r="J150" s="13"/>
      <c r="M150" s="13"/>
      <c r="O150" s="13"/>
    </row>
    <row r="151" spans="1:13" ht="12.75">
      <c r="A151" s="12" t="s">
        <v>8</v>
      </c>
      <c r="B151" s="4">
        <v>1</v>
      </c>
      <c r="C151" s="5">
        <v>1</v>
      </c>
      <c r="L151" s="8" t="s">
        <v>18</v>
      </c>
      <c r="M151" s="13"/>
    </row>
    <row r="152" spans="1:14" ht="15.75">
      <c r="A152" s="12" t="s">
        <v>9</v>
      </c>
      <c r="B152" s="104">
        <v>1</v>
      </c>
      <c r="C152" s="19">
        <v>1</v>
      </c>
      <c r="L152" s="8" t="s">
        <v>69</v>
      </c>
      <c r="M152" s="13">
        <f>2*(B152-B153)*(B152-B153)*(C159+2*C158+3*C157+4*C156+5*C155+3*C154)</f>
        <v>0</v>
      </c>
      <c r="N152" s="8" t="s">
        <v>34</v>
      </c>
    </row>
    <row r="153" spans="1:14" ht="15.75">
      <c r="A153" s="12" t="s">
        <v>10</v>
      </c>
      <c r="B153" s="105">
        <v>1</v>
      </c>
      <c r="C153" s="5">
        <v>1</v>
      </c>
      <c r="L153" s="8" t="s">
        <v>70</v>
      </c>
      <c r="M153" s="13">
        <f>2*(B152-B153)*(B152-B153)*(C159+2*C158+3*C157+4*C156+5*C155+6*C154+7*C153+4*C152)</f>
        <v>0</v>
      </c>
      <c r="N153" s="8" t="s">
        <v>34</v>
      </c>
    </row>
    <row r="154" spans="1:14" ht="15.75">
      <c r="A154" s="12" t="s">
        <v>11</v>
      </c>
      <c r="B154" s="105">
        <v>1</v>
      </c>
      <c r="C154" s="5">
        <v>1</v>
      </c>
      <c r="L154" s="8" t="s">
        <v>71</v>
      </c>
      <c r="M154" s="13">
        <f>2*(B152-B153)*(B152-B153)*(C159+2*C158+3*C157+4*C156+5*C155+6*C154+7*C153+8*C152+9*C151+5*C150)</f>
        <v>0</v>
      </c>
      <c r="N154" s="8" t="s">
        <v>34</v>
      </c>
    </row>
    <row r="155" spans="1:10" ht="12.75">
      <c r="A155" s="12" t="s">
        <v>12</v>
      </c>
      <c r="B155" s="105">
        <v>1</v>
      </c>
      <c r="C155" s="5">
        <v>1</v>
      </c>
      <c r="J155" s="13"/>
    </row>
    <row r="156" spans="1:12" ht="12.75">
      <c r="A156" s="12" t="s">
        <v>13</v>
      </c>
      <c r="B156" s="105">
        <v>1</v>
      </c>
      <c r="C156" s="5">
        <v>1</v>
      </c>
      <c r="L156" s="8" t="s">
        <v>20</v>
      </c>
    </row>
    <row r="157" spans="1:14" ht="15.75">
      <c r="A157" s="12" t="s">
        <v>14</v>
      </c>
      <c r="B157" s="105">
        <v>1</v>
      </c>
      <c r="C157" s="5">
        <v>1</v>
      </c>
      <c r="L157" s="8" t="s">
        <v>72</v>
      </c>
      <c r="M157" s="14" t="e">
        <f>M152/M147</f>
        <v>#DIV/0!</v>
      </c>
      <c r="N157" s="8" t="s">
        <v>19</v>
      </c>
    </row>
    <row r="158" spans="1:14" ht="15.75">
      <c r="A158" s="12" t="s">
        <v>15</v>
      </c>
      <c r="B158" s="105">
        <v>1</v>
      </c>
      <c r="C158" s="5">
        <v>1</v>
      </c>
      <c r="J158" s="14"/>
      <c r="L158" s="8" t="s">
        <v>73</v>
      </c>
      <c r="M158" s="14" t="e">
        <f>M153/M148</f>
        <v>#DIV/0!</v>
      </c>
      <c r="N158" s="8" t="s">
        <v>19</v>
      </c>
    </row>
    <row r="159" spans="1:14" ht="15.75">
      <c r="A159" s="12" t="s">
        <v>31</v>
      </c>
      <c r="B159" s="105">
        <v>1</v>
      </c>
      <c r="C159" s="5">
        <v>1</v>
      </c>
      <c r="J159" s="14"/>
      <c r="L159" s="8" t="s">
        <v>143</v>
      </c>
      <c r="M159" s="14" t="e">
        <f>M154/M149</f>
        <v>#DIV/0!</v>
      </c>
      <c r="N159" s="8" t="s">
        <v>19</v>
      </c>
    </row>
    <row r="160" spans="1:3" ht="12.75">
      <c r="A160" s="12" t="s">
        <v>30</v>
      </c>
      <c r="B160" s="105">
        <v>1</v>
      </c>
      <c r="C160" s="5">
        <v>1</v>
      </c>
    </row>
    <row r="162" spans="1:12" ht="12.75">
      <c r="A162" s="10">
        <v>9</v>
      </c>
      <c r="L162" s="8" t="s">
        <v>16</v>
      </c>
    </row>
    <row r="163" spans="1:14" ht="15.75">
      <c r="A163" s="16" t="s">
        <v>177</v>
      </c>
      <c r="B163" s="12" t="s">
        <v>4</v>
      </c>
      <c r="C163" s="12" t="s">
        <v>3</v>
      </c>
      <c r="J163" s="13"/>
      <c r="L163" s="8" t="s">
        <v>67</v>
      </c>
      <c r="M163" s="13">
        <f>2*(B168-B169)*(0.5*C176+C175+C174+C173+C172+C171+0.5*C170)</f>
        <v>0</v>
      </c>
      <c r="N163" s="8" t="s">
        <v>33</v>
      </c>
    </row>
    <row r="164" spans="1:14" ht="15.75">
      <c r="A164" s="12" t="s">
        <v>5</v>
      </c>
      <c r="B164" s="4">
        <v>1</v>
      </c>
      <c r="C164" s="5">
        <v>1</v>
      </c>
      <c r="L164" s="8" t="s">
        <v>66</v>
      </c>
      <c r="M164" s="13">
        <f>2*(B168-B169)*(0.5*C176+C175+C174+C173+C172+C171+C170+C169+0.5*C168)</f>
        <v>0</v>
      </c>
      <c r="N164" s="8" t="s">
        <v>33</v>
      </c>
    </row>
    <row r="165" spans="1:14" ht="15.75">
      <c r="A165" s="12" t="s">
        <v>6</v>
      </c>
      <c r="B165" s="4">
        <v>1</v>
      </c>
      <c r="C165" s="5">
        <v>1</v>
      </c>
      <c r="L165" s="8" t="s">
        <v>68</v>
      </c>
      <c r="M165" s="13">
        <f>2*(B168-B169)*(0.5*C176+C175+C174+C173+C172+C171+C170+C169+C168+C167+0.5*C166)</f>
        <v>0</v>
      </c>
      <c r="N165" s="8" t="s">
        <v>33</v>
      </c>
    </row>
    <row r="166" spans="1:15" ht="12.75">
      <c r="A166" s="12" t="s">
        <v>7</v>
      </c>
      <c r="B166" s="4">
        <v>1</v>
      </c>
      <c r="C166" s="5">
        <v>1</v>
      </c>
      <c r="J166" s="13"/>
      <c r="M166" s="13"/>
      <c r="O166" s="13"/>
    </row>
    <row r="167" spans="1:13" ht="12.75">
      <c r="A167" s="12" t="s">
        <v>8</v>
      </c>
      <c r="B167" s="4">
        <v>1</v>
      </c>
      <c r="C167" s="5">
        <v>1</v>
      </c>
      <c r="L167" s="8" t="s">
        <v>18</v>
      </c>
      <c r="M167" s="13"/>
    </row>
    <row r="168" spans="1:14" ht="15.75">
      <c r="A168" s="12" t="s">
        <v>9</v>
      </c>
      <c r="B168" s="104">
        <v>1</v>
      </c>
      <c r="C168" s="19">
        <v>1</v>
      </c>
      <c r="L168" s="8" t="s">
        <v>69</v>
      </c>
      <c r="M168" s="13">
        <f>2*(B168-B169)*(B168-B169)*(C175+2*C174+3*C173+4*C172+5*C171+3*C170)</f>
        <v>0</v>
      </c>
      <c r="N168" s="8" t="s">
        <v>34</v>
      </c>
    </row>
    <row r="169" spans="1:14" ht="15.75">
      <c r="A169" s="12" t="s">
        <v>10</v>
      </c>
      <c r="B169" s="105">
        <v>1</v>
      </c>
      <c r="C169" s="5">
        <v>1</v>
      </c>
      <c r="L169" s="8" t="s">
        <v>70</v>
      </c>
      <c r="M169" s="13">
        <f>2*(B168-B169)*(B168-B169)*(C175+2*C174+3*C173+4*C172+5*C171+6*C170+7*C169+4*C168)</f>
        <v>0</v>
      </c>
      <c r="N169" s="8" t="s">
        <v>34</v>
      </c>
    </row>
    <row r="170" spans="1:14" ht="15.75">
      <c r="A170" s="12" t="s">
        <v>11</v>
      </c>
      <c r="B170" s="105">
        <v>1</v>
      </c>
      <c r="C170" s="5">
        <v>1</v>
      </c>
      <c r="L170" s="8" t="s">
        <v>71</v>
      </c>
      <c r="M170" s="13">
        <f>2*(B168-B169)*(B168-B169)*(C175+2*C174+3*C173+4*C172+5*C171+6*C170+7*C169+8*C168+9*C167+5*C166)</f>
        <v>0</v>
      </c>
      <c r="N170" s="8" t="s">
        <v>34</v>
      </c>
    </row>
    <row r="171" spans="1:10" ht="12.75">
      <c r="A171" s="12" t="s">
        <v>12</v>
      </c>
      <c r="B171" s="105">
        <v>1</v>
      </c>
      <c r="C171" s="5">
        <v>1</v>
      </c>
      <c r="J171" s="13"/>
    </row>
    <row r="172" spans="1:12" ht="12.75">
      <c r="A172" s="12" t="s">
        <v>13</v>
      </c>
      <c r="B172" s="105">
        <v>1</v>
      </c>
      <c r="C172" s="5">
        <v>1</v>
      </c>
      <c r="L172" s="8" t="s">
        <v>20</v>
      </c>
    </row>
    <row r="173" spans="1:14" ht="15.75">
      <c r="A173" s="12" t="s">
        <v>14</v>
      </c>
      <c r="B173" s="105">
        <v>1</v>
      </c>
      <c r="C173" s="5">
        <v>1</v>
      </c>
      <c r="L173" s="8" t="s">
        <v>72</v>
      </c>
      <c r="M173" s="14" t="e">
        <f>M168/M163</f>
        <v>#DIV/0!</v>
      </c>
      <c r="N173" s="8" t="s">
        <v>19</v>
      </c>
    </row>
    <row r="174" spans="1:14" ht="15.75">
      <c r="A174" s="12" t="s">
        <v>15</v>
      </c>
      <c r="B174" s="105">
        <v>1</v>
      </c>
      <c r="C174" s="5">
        <v>1</v>
      </c>
      <c r="J174" s="14"/>
      <c r="L174" s="8" t="s">
        <v>73</v>
      </c>
      <c r="M174" s="14" t="e">
        <f>M169/M164</f>
        <v>#DIV/0!</v>
      </c>
      <c r="N174" s="8" t="s">
        <v>19</v>
      </c>
    </row>
    <row r="175" spans="1:14" ht="15.75">
      <c r="A175" s="12" t="s">
        <v>31</v>
      </c>
      <c r="B175" s="105">
        <v>1</v>
      </c>
      <c r="C175" s="5">
        <v>1</v>
      </c>
      <c r="J175" s="14"/>
      <c r="L175" s="8" t="s">
        <v>143</v>
      </c>
      <c r="M175" s="14" t="e">
        <f>M170/M165</f>
        <v>#DIV/0!</v>
      </c>
      <c r="N175" s="8" t="s">
        <v>19</v>
      </c>
    </row>
    <row r="176" spans="1:3" ht="12.75">
      <c r="A176" s="12" t="s">
        <v>30</v>
      </c>
      <c r="B176" s="105">
        <v>1</v>
      </c>
      <c r="C176" s="5">
        <v>1</v>
      </c>
    </row>
    <row r="178" spans="1:12" ht="12.75">
      <c r="A178" s="10">
        <v>10</v>
      </c>
      <c r="L178" s="8" t="s">
        <v>16</v>
      </c>
    </row>
    <row r="179" spans="1:14" ht="15.75">
      <c r="A179" s="16" t="s">
        <v>178</v>
      </c>
      <c r="B179" s="12" t="s">
        <v>4</v>
      </c>
      <c r="C179" s="12" t="s">
        <v>3</v>
      </c>
      <c r="J179" s="13"/>
      <c r="L179" s="8" t="s">
        <v>67</v>
      </c>
      <c r="M179" s="13">
        <f>2*(B184-B185)*(0.5*C192+C191+C190+C189+C188+C187+0.5*C186)</f>
        <v>0</v>
      </c>
      <c r="N179" s="8" t="s">
        <v>33</v>
      </c>
    </row>
    <row r="180" spans="1:14" ht="15.75">
      <c r="A180" s="12" t="s">
        <v>5</v>
      </c>
      <c r="B180" s="4">
        <v>1</v>
      </c>
      <c r="C180" s="5">
        <v>1</v>
      </c>
      <c r="L180" s="8" t="s">
        <v>66</v>
      </c>
      <c r="M180" s="13">
        <f>2*(B184-B185)*(0.5*C192+C191+C190+C189+C188+C187+C186+C185+0.5*C184)</f>
        <v>0</v>
      </c>
      <c r="N180" s="8" t="s">
        <v>33</v>
      </c>
    </row>
    <row r="181" spans="1:14" ht="15.75">
      <c r="A181" s="12" t="s">
        <v>6</v>
      </c>
      <c r="B181" s="4">
        <v>1</v>
      </c>
      <c r="C181" s="5">
        <v>1</v>
      </c>
      <c r="L181" s="8" t="s">
        <v>68</v>
      </c>
      <c r="M181" s="13">
        <f>2*(B184-B185)*(0.5*C192+C191+C190+C189+C188+C187+C186+C185+C184+C183+0.5*C182)</f>
        <v>0</v>
      </c>
      <c r="N181" s="8" t="s">
        <v>33</v>
      </c>
    </row>
    <row r="182" spans="1:15" ht="12.75">
      <c r="A182" s="12" t="s">
        <v>7</v>
      </c>
      <c r="B182" s="4">
        <v>1</v>
      </c>
      <c r="C182" s="5">
        <v>1</v>
      </c>
      <c r="J182" s="13"/>
      <c r="M182" s="13"/>
      <c r="O182" s="13"/>
    </row>
    <row r="183" spans="1:13" ht="12.75">
      <c r="A183" s="12" t="s">
        <v>8</v>
      </c>
      <c r="B183" s="4">
        <v>1</v>
      </c>
      <c r="C183" s="5">
        <v>1</v>
      </c>
      <c r="L183" s="8" t="s">
        <v>18</v>
      </c>
      <c r="M183" s="13"/>
    </row>
    <row r="184" spans="1:14" ht="15.75">
      <c r="A184" s="12" t="s">
        <v>9</v>
      </c>
      <c r="B184" s="104">
        <v>1</v>
      </c>
      <c r="C184" s="19">
        <v>1</v>
      </c>
      <c r="L184" s="8" t="s">
        <v>69</v>
      </c>
      <c r="M184" s="13">
        <f>2*(B184-B185)*(B184-B185)*(C191+2*C190+3*C189+4*C188+5*C187+3*C186)</f>
        <v>0</v>
      </c>
      <c r="N184" s="8" t="s">
        <v>34</v>
      </c>
    </row>
    <row r="185" spans="1:14" ht="15.75">
      <c r="A185" s="12" t="s">
        <v>10</v>
      </c>
      <c r="B185" s="105">
        <v>1</v>
      </c>
      <c r="C185" s="5">
        <v>1</v>
      </c>
      <c r="L185" s="8" t="s">
        <v>70</v>
      </c>
      <c r="M185" s="13">
        <f>2*(B184-B185)*(B184-B185)*(C191+2*C190+3*C189+4*C188+5*C187+6*C186+7*C185+4*C184)</f>
        <v>0</v>
      </c>
      <c r="N185" s="8" t="s">
        <v>34</v>
      </c>
    </row>
    <row r="186" spans="1:14" ht="15.75">
      <c r="A186" s="12" t="s">
        <v>11</v>
      </c>
      <c r="B186" s="105">
        <v>1</v>
      </c>
      <c r="C186" s="5">
        <v>1</v>
      </c>
      <c r="L186" s="8" t="s">
        <v>71</v>
      </c>
      <c r="M186" s="13">
        <f>2*(B184-B185)*(B184-B185)*(C191+2*C190+3*C189+4*C188+5*C187+6*C186+7*C185+8*C184+9*C183+5*C182)</f>
        <v>0</v>
      </c>
      <c r="N186" s="8" t="s">
        <v>34</v>
      </c>
    </row>
    <row r="187" spans="1:10" ht="12.75">
      <c r="A187" s="12" t="s">
        <v>12</v>
      </c>
      <c r="B187" s="105">
        <v>1</v>
      </c>
      <c r="C187" s="5">
        <v>1</v>
      </c>
      <c r="J187" s="13"/>
    </row>
    <row r="188" spans="1:12" ht="12.75">
      <c r="A188" s="12" t="s">
        <v>13</v>
      </c>
      <c r="B188" s="105">
        <v>1</v>
      </c>
      <c r="C188" s="5">
        <v>1</v>
      </c>
      <c r="L188" s="8" t="s">
        <v>20</v>
      </c>
    </row>
    <row r="189" spans="1:14" ht="15.75">
      <c r="A189" s="12" t="s">
        <v>14</v>
      </c>
      <c r="B189" s="105">
        <v>1</v>
      </c>
      <c r="C189" s="5">
        <v>1</v>
      </c>
      <c r="L189" s="8" t="s">
        <v>72</v>
      </c>
      <c r="M189" s="14" t="e">
        <f>M184/M179</f>
        <v>#DIV/0!</v>
      </c>
      <c r="N189" s="8" t="s">
        <v>19</v>
      </c>
    </row>
    <row r="190" spans="1:14" ht="15.75">
      <c r="A190" s="12" t="s">
        <v>15</v>
      </c>
      <c r="B190" s="105">
        <v>1</v>
      </c>
      <c r="C190" s="5">
        <v>1</v>
      </c>
      <c r="J190" s="14"/>
      <c r="L190" s="8" t="s">
        <v>73</v>
      </c>
      <c r="M190" s="14" t="e">
        <f>M185/M180</f>
        <v>#DIV/0!</v>
      </c>
      <c r="N190" s="8" t="s">
        <v>19</v>
      </c>
    </row>
    <row r="191" spans="1:14" ht="15.75">
      <c r="A191" s="12" t="s">
        <v>31</v>
      </c>
      <c r="B191" s="105">
        <v>1</v>
      </c>
      <c r="C191" s="5">
        <v>1</v>
      </c>
      <c r="J191" s="14"/>
      <c r="L191" s="8" t="s">
        <v>143</v>
      </c>
      <c r="M191" s="14" t="e">
        <f>M186/M181</f>
        <v>#DIV/0!</v>
      </c>
      <c r="N191" s="8" t="s">
        <v>19</v>
      </c>
    </row>
    <row r="192" spans="1:3" ht="12.75">
      <c r="A192" s="12" t="s">
        <v>30</v>
      </c>
      <c r="B192" s="105">
        <v>1</v>
      </c>
      <c r="C192" s="5">
        <v>1</v>
      </c>
    </row>
    <row r="193" ht="12.75">
      <c r="J193" s="15"/>
    </row>
    <row r="194" ht="12.75">
      <c r="A194" s="103" t="s">
        <v>259</v>
      </c>
    </row>
    <row r="195" spans="1:12" ht="14.25">
      <c r="A195" s="12" t="s">
        <v>179</v>
      </c>
      <c r="B195" s="109" t="s">
        <v>144</v>
      </c>
      <c r="C195" s="43"/>
      <c r="D195" s="43"/>
      <c r="E195" s="43"/>
      <c r="F195" s="43"/>
      <c r="G195" s="43"/>
      <c r="H195" s="43"/>
      <c r="I195" s="43"/>
      <c r="J195" s="43"/>
      <c r="K195" s="43"/>
      <c r="L195" s="37"/>
    </row>
    <row r="196" spans="1:12" ht="12.75">
      <c r="A196" s="12"/>
      <c r="B196" s="12">
        <v>0</v>
      </c>
      <c r="C196" s="12">
        <v>1</v>
      </c>
      <c r="D196" s="12">
        <v>2</v>
      </c>
      <c r="E196" s="12">
        <v>3</v>
      </c>
      <c r="F196" s="12">
        <v>4</v>
      </c>
      <c r="G196" s="12">
        <v>5</v>
      </c>
      <c r="H196" s="12">
        <v>6</v>
      </c>
      <c r="I196" s="12">
        <v>7</v>
      </c>
      <c r="J196" s="12">
        <v>8</v>
      </c>
      <c r="K196" s="12">
        <v>9</v>
      </c>
      <c r="L196" s="12">
        <v>10</v>
      </c>
    </row>
    <row r="197" spans="1:12" ht="12.75">
      <c r="A197" s="108" t="s">
        <v>5</v>
      </c>
      <c r="B197" s="4">
        <v>1</v>
      </c>
      <c r="C197" s="5">
        <v>1</v>
      </c>
      <c r="D197" s="5">
        <v>1</v>
      </c>
      <c r="E197" s="5">
        <v>1</v>
      </c>
      <c r="F197" s="5">
        <v>1</v>
      </c>
      <c r="G197" s="5">
        <v>1</v>
      </c>
      <c r="H197" s="5">
        <v>1</v>
      </c>
      <c r="I197" s="5">
        <v>1</v>
      </c>
      <c r="J197" s="5">
        <v>1</v>
      </c>
      <c r="K197" s="5">
        <v>1</v>
      </c>
      <c r="L197" s="5">
        <v>1</v>
      </c>
    </row>
    <row r="198" spans="1:14" ht="12.75">
      <c r="A198" s="12" t="s">
        <v>6</v>
      </c>
      <c r="B198" s="4">
        <v>1</v>
      </c>
      <c r="C198" s="5">
        <v>1</v>
      </c>
      <c r="D198" s="5">
        <v>1</v>
      </c>
      <c r="E198" s="5">
        <v>1</v>
      </c>
      <c r="F198" s="5">
        <v>1</v>
      </c>
      <c r="G198" s="5">
        <v>1</v>
      </c>
      <c r="H198" s="5">
        <v>1</v>
      </c>
      <c r="I198" s="5">
        <v>1</v>
      </c>
      <c r="J198" s="5">
        <v>1</v>
      </c>
      <c r="K198" s="5">
        <v>1</v>
      </c>
      <c r="L198" s="5">
        <v>1</v>
      </c>
      <c r="N198" s="14"/>
    </row>
    <row r="199" spans="1:12" ht="12.75">
      <c r="A199" s="12" t="s">
        <v>7</v>
      </c>
      <c r="B199" s="4">
        <v>1</v>
      </c>
      <c r="C199" s="5">
        <v>1</v>
      </c>
      <c r="D199" s="5">
        <v>1</v>
      </c>
      <c r="E199" s="5">
        <v>1</v>
      </c>
      <c r="F199" s="5">
        <v>1</v>
      </c>
      <c r="G199" s="5">
        <v>1</v>
      </c>
      <c r="H199" s="5">
        <v>1</v>
      </c>
      <c r="I199" s="5">
        <v>1</v>
      </c>
      <c r="J199" s="5">
        <v>1</v>
      </c>
      <c r="K199" s="5">
        <v>1</v>
      </c>
      <c r="L199" s="5">
        <v>1</v>
      </c>
    </row>
    <row r="200" spans="1:12" ht="12.75">
      <c r="A200" s="12" t="s">
        <v>8</v>
      </c>
      <c r="B200" s="4">
        <v>1</v>
      </c>
      <c r="C200" s="5">
        <v>1</v>
      </c>
      <c r="D200" s="5">
        <v>1</v>
      </c>
      <c r="E200" s="5">
        <v>1</v>
      </c>
      <c r="F200" s="5">
        <v>1</v>
      </c>
      <c r="G200" s="5">
        <v>1</v>
      </c>
      <c r="H200" s="5">
        <v>1</v>
      </c>
      <c r="I200" s="5">
        <v>1</v>
      </c>
      <c r="J200" s="5">
        <v>1</v>
      </c>
      <c r="K200" s="5">
        <v>1</v>
      </c>
      <c r="L200" s="5">
        <v>1</v>
      </c>
    </row>
    <row r="201" spans="1:12" ht="12.75">
      <c r="A201" s="12" t="s">
        <v>9</v>
      </c>
      <c r="B201" s="4">
        <v>1</v>
      </c>
      <c r="C201" s="5">
        <v>1</v>
      </c>
      <c r="D201" s="5">
        <v>1</v>
      </c>
      <c r="E201" s="5">
        <v>1</v>
      </c>
      <c r="F201" s="5">
        <v>1</v>
      </c>
      <c r="G201" s="5">
        <v>1</v>
      </c>
      <c r="H201" s="5">
        <v>1</v>
      </c>
      <c r="I201" s="5">
        <v>1</v>
      </c>
      <c r="J201" s="5">
        <v>1</v>
      </c>
      <c r="K201" s="5">
        <v>1</v>
      </c>
      <c r="L201" s="5">
        <v>1</v>
      </c>
    </row>
    <row r="202" spans="1:12" ht="12.75">
      <c r="A202" s="12" t="s">
        <v>10</v>
      </c>
      <c r="B202" s="104">
        <v>1</v>
      </c>
      <c r="C202" s="19">
        <v>1</v>
      </c>
      <c r="D202" s="19">
        <v>1</v>
      </c>
      <c r="E202" s="19">
        <v>1</v>
      </c>
      <c r="F202" s="19">
        <v>1</v>
      </c>
      <c r="G202" s="19">
        <v>1</v>
      </c>
      <c r="H202" s="19">
        <v>1</v>
      </c>
      <c r="I202" s="19">
        <v>1</v>
      </c>
      <c r="J202" s="19">
        <v>1</v>
      </c>
      <c r="K202" s="19">
        <v>1</v>
      </c>
      <c r="L202" s="19">
        <v>1</v>
      </c>
    </row>
    <row r="203" spans="1:12" ht="12.75">
      <c r="A203" s="12" t="s">
        <v>11</v>
      </c>
      <c r="B203" s="105">
        <v>1</v>
      </c>
      <c r="C203" s="5">
        <v>1</v>
      </c>
      <c r="D203" s="5">
        <v>1</v>
      </c>
      <c r="E203" s="5">
        <v>1</v>
      </c>
      <c r="F203" s="5">
        <v>1</v>
      </c>
      <c r="G203" s="5">
        <v>1</v>
      </c>
      <c r="H203" s="5">
        <v>1</v>
      </c>
      <c r="I203" s="5">
        <v>1</v>
      </c>
      <c r="J203" s="5">
        <v>1</v>
      </c>
      <c r="K203" s="5">
        <v>1</v>
      </c>
      <c r="L203" s="5">
        <v>1</v>
      </c>
    </row>
    <row r="204" spans="1:12" ht="12.75">
      <c r="A204" s="12" t="s">
        <v>12</v>
      </c>
      <c r="B204" s="105">
        <v>1</v>
      </c>
      <c r="C204" s="5">
        <v>1</v>
      </c>
      <c r="D204" s="5">
        <v>1</v>
      </c>
      <c r="E204" s="5">
        <v>1</v>
      </c>
      <c r="F204" s="5">
        <v>1</v>
      </c>
      <c r="G204" s="5">
        <v>1</v>
      </c>
      <c r="H204" s="5">
        <v>1</v>
      </c>
      <c r="I204" s="5">
        <v>1</v>
      </c>
      <c r="J204" s="5">
        <v>1</v>
      </c>
      <c r="K204" s="5">
        <v>1</v>
      </c>
      <c r="L204" s="5">
        <v>1</v>
      </c>
    </row>
    <row r="205" spans="1:12" ht="12.75">
      <c r="A205" s="12" t="s">
        <v>13</v>
      </c>
      <c r="B205" s="105">
        <v>1</v>
      </c>
      <c r="C205" s="5">
        <v>1</v>
      </c>
      <c r="D205" s="5">
        <v>1</v>
      </c>
      <c r="E205" s="5">
        <v>1</v>
      </c>
      <c r="F205" s="5">
        <v>1</v>
      </c>
      <c r="G205" s="5">
        <v>1</v>
      </c>
      <c r="H205" s="5">
        <v>1</v>
      </c>
      <c r="I205" s="5">
        <v>1</v>
      </c>
      <c r="J205" s="5">
        <v>1</v>
      </c>
      <c r="K205" s="5">
        <v>1</v>
      </c>
      <c r="L205" s="5">
        <v>1</v>
      </c>
    </row>
    <row r="206" spans="1:12" ht="12.75">
      <c r="A206" s="12" t="s">
        <v>14</v>
      </c>
      <c r="B206" s="105">
        <v>1</v>
      </c>
      <c r="C206" s="5">
        <v>1</v>
      </c>
      <c r="D206" s="5">
        <v>1</v>
      </c>
      <c r="E206" s="5">
        <v>1</v>
      </c>
      <c r="F206" s="5">
        <v>1</v>
      </c>
      <c r="G206" s="5">
        <v>1</v>
      </c>
      <c r="H206" s="5">
        <v>1</v>
      </c>
      <c r="I206" s="5">
        <v>1</v>
      </c>
      <c r="J206" s="5">
        <v>1</v>
      </c>
      <c r="K206" s="5">
        <v>1</v>
      </c>
      <c r="L206" s="5">
        <v>1</v>
      </c>
    </row>
    <row r="207" spans="1:12" ht="12.75">
      <c r="A207" s="12" t="s">
        <v>15</v>
      </c>
      <c r="B207" s="105">
        <v>1</v>
      </c>
      <c r="C207" s="5">
        <v>1</v>
      </c>
      <c r="D207" s="5">
        <v>1</v>
      </c>
      <c r="E207" s="5">
        <v>1</v>
      </c>
      <c r="F207" s="5">
        <v>1</v>
      </c>
      <c r="G207" s="5">
        <v>1</v>
      </c>
      <c r="H207" s="5">
        <v>1</v>
      </c>
      <c r="I207" s="5">
        <v>1</v>
      </c>
      <c r="J207" s="5">
        <v>1</v>
      </c>
      <c r="K207" s="5">
        <v>1</v>
      </c>
      <c r="L207" s="5">
        <v>1</v>
      </c>
    </row>
    <row r="208" spans="1:12" ht="12.75">
      <c r="A208" s="12" t="s">
        <v>31</v>
      </c>
      <c r="B208" s="105">
        <v>1</v>
      </c>
      <c r="C208" s="5">
        <v>1</v>
      </c>
      <c r="D208" s="5">
        <v>1</v>
      </c>
      <c r="E208" s="5">
        <v>1</v>
      </c>
      <c r="F208" s="5">
        <v>1</v>
      </c>
      <c r="G208" s="5">
        <v>1</v>
      </c>
      <c r="H208" s="5">
        <v>1</v>
      </c>
      <c r="I208" s="5">
        <v>1</v>
      </c>
      <c r="J208" s="5">
        <v>1</v>
      </c>
      <c r="K208" s="5">
        <v>1</v>
      </c>
      <c r="L208" s="5">
        <v>1</v>
      </c>
    </row>
    <row r="209" spans="1:12" ht="12.75">
      <c r="A209" s="12" t="s">
        <v>30</v>
      </c>
      <c r="B209" s="105">
        <v>1</v>
      </c>
      <c r="C209" s="5">
        <v>1</v>
      </c>
      <c r="D209" s="5">
        <v>1</v>
      </c>
      <c r="E209" s="5">
        <v>1</v>
      </c>
      <c r="F209" s="5">
        <v>1</v>
      </c>
      <c r="G209" s="5">
        <v>1</v>
      </c>
      <c r="H209" s="5">
        <v>1</v>
      </c>
      <c r="I209" s="5">
        <v>1</v>
      </c>
      <c r="J209" s="5">
        <v>1</v>
      </c>
      <c r="K209" s="5">
        <v>1</v>
      </c>
      <c r="L209" s="5">
        <v>1</v>
      </c>
    </row>
    <row r="210" spans="2:12" ht="12.75">
      <c r="B210" s="105">
        <v>1</v>
      </c>
      <c r="C210" s="5">
        <v>1</v>
      </c>
      <c r="D210" s="5">
        <v>1</v>
      </c>
      <c r="E210" s="5">
        <v>1</v>
      </c>
      <c r="F210" s="5">
        <v>1</v>
      </c>
      <c r="G210" s="5">
        <v>1</v>
      </c>
      <c r="H210" s="5">
        <v>1</v>
      </c>
      <c r="I210" s="5">
        <v>1</v>
      </c>
      <c r="J210" s="5">
        <v>1</v>
      </c>
      <c r="K210" s="5">
        <v>1</v>
      </c>
      <c r="L210" s="5">
        <v>1</v>
      </c>
    </row>
  </sheetData>
  <printOptions/>
  <pageMargins left="0.75" right="0.75" top="1" bottom="1" header="0.5" footer="0.5"/>
  <pageSetup horizontalDpi="240" verticalDpi="240" orientation="landscape" paperSize="9" r:id="rId2"/>
  <ignoredErrors>
    <ignoredError sqref="M29:M31 M189 M45:M47 M61:M63 M77:M79 M93:M95 M109:M111 M125:M127 M141:M143 M157:M159 M173:M175 M190:M191" evalError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5"/>
  <sheetViews>
    <sheetView workbookViewId="0" topLeftCell="A1">
      <selection activeCell="A1" sqref="A1"/>
    </sheetView>
  </sheetViews>
  <sheetFormatPr defaultColWidth="9.140625" defaultRowHeight="12.75"/>
  <cols>
    <col min="2" max="3" width="9.28125" style="0" bestFit="1" customWidth="1"/>
    <col min="4" max="4" width="9.28125" style="0" customWidth="1"/>
    <col min="5" max="5" width="9.28125" style="13" customWidth="1"/>
    <col min="6" max="9" width="9.28125" style="0" customWidth="1"/>
    <col min="10" max="11" width="9.28125" style="0" bestFit="1" customWidth="1"/>
    <col min="12" max="12" width="9.28125" style="0" customWidth="1"/>
    <col min="13" max="13" width="9.28125" style="0" bestFit="1" customWidth="1"/>
    <col min="14" max="14" width="9.28125" style="0" customWidth="1"/>
  </cols>
  <sheetData>
    <row r="1" spans="1:14" ht="14.25">
      <c r="A1" s="113" t="s">
        <v>236</v>
      </c>
      <c r="B1" s="1"/>
      <c r="C1" s="1"/>
      <c r="D1" s="1"/>
      <c r="E1" s="45"/>
      <c r="F1" s="1"/>
      <c r="G1" s="1"/>
      <c r="H1" s="1"/>
      <c r="I1" s="1"/>
      <c r="J1" s="1"/>
      <c r="K1" s="1"/>
      <c r="L1" s="1"/>
      <c r="M1" s="1"/>
      <c r="N1" s="1"/>
    </row>
    <row r="2" spans="1:14" s="8" customFormat="1" ht="12.75">
      <c r="A2" s="51" t="s">
        <v>51</v>
      </c>
      <c r="B2" s="50"/>
      <c r="C2" s="52">
        <v>0</v>
      </c>
      <c r="D2" s="12">
        <v>0</v>
      </c>
      <c r="E2" s="46">
        <v>1</v>
      </c>
      <c r="F2" s="12">
        <v>2</v>
      </c>
      <c r="G2" s="12">
        <v>3</v>
      </c>
      <c r="H2" s="12">
        <v>4</v>
      </c>
      <c r="I2" s="12">
        <v>5</v>
      </c>
      <c r="J2" s="12">
        <v>6</v>
      </c>
      <c r="K2" s="12">
        <v>7</v>
      </c>
      <c r="L2" s="12">
        <v>8</v>
      </c>
      <c r="M2" s="12">
        <v>9</v>
      </c>
      <c r="N2" s="12">
        <v>10</v>
      </c>
    </row>
    <row r="3" spans="1:16" ht="12.75">
      <c r="A3" s="22" t="s">
        <v>23</v>
      </c>
      <c r="B3" s="23"/>
      <c r="C3" s="59" t="s">
        <v>19</v>
      </c>
      <c r="D3" s="106">
        <v>-1</v>
      </c>
      <c r="E3" s="106">
        <v>-1</v>
      </c>
      <c r="F3" s="106">
        <v>-1</v>
      </c>
      <c r="G3" s="106">
        <v>-1</v>
      </c>
      <c r="H3" s="106">
        <v>-1</v>
      </c>
      <c r="I3" s="5">
        <v>0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P3" s="116"/>
    </row>
    <row r="4" spans="1:16" ht="14.25">
      <c r="A4" s="36" t="s">
        <v>237</v>
      </c>
      <c r="B4" s="23"/>
      <c r="C4" s="59" t="s">
        <v>33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P4" s="116"/>
    </row>
    <row r="5" spans="1:16" ht="12.75">
      <c r="A5" s="36" t="s">
        <v>239</v>
      </c>
      <c r="B5" s="23"/>
      <c r="C5" s="59" t="s">
        <v>19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P5" s="116"/>
    </row>
    <row r="6" spans="1:7" ht="15.75">
      <c r="A6" s="24" t="s">
        <v>22</v>
      </c>
      <c r="B6" s="25"/>
      <c r="C6" s="26"/>
      <c r="D6" s="61" t="s">
        <v>76</v>
      </c>
      <c r="E6" s="58">
        <f>(J3-I3)*(0.5*D4+E4+F4+G4+H4+I4+J4+K4+L4+M4+0.5*N4)</f>
        <v>10</v>
      </c>
      <c r="F6" s="31" t="s">
        <v>34</v>
      </c>
      <c r="G6" s="32"/>
    </row>
    <row r="7" spans="1:14" ht="15.75">
      <c r="A7" s="47" t="s">
        <v>240</v>
      </c>
      <c r="B7" s="48"/>
      <c r="C7" s="21"/>
      <c r="D7" s="6" t="s">
        <v>60</v>
      </c>
      <c r="E7" s="44">
        <v>10</v>
      </c>
      <c r="F7" s="23" t="s">
        <v>33</v>
      </c>
      <c r="G7" s="21"/>
      <c r="I7" t="s">
        <v>243</v>
      </c>
      <c r="L7" t="s">
        <v>65</v>
      </c>
      <c r="M7" s="8">
        <v>1</v>
      </c>
      <c r="N7" t="s">
        <v>19</v>
      </c>
    </row>
    <row r="8" spans="1:14" ht="15.75">
      <c r="A8" s="27" t="s">
        <v>26</v>
      </c>
      <c r="B8" s="28"/>
      <c r="C8" s="29"/>
      <c r="D8" s="20" t="s">
        <v>78</v>
      </c>
      <c r="E8" s="44">
        <f>(J3-I3)*(0.5*D4*D5+E4*E5+F4*F5+G4*G5+H4*H5+I4*I5+J4*J5+K4*K5+L4*L5+M4*M5+0.5*N4*N5)</f>
        <v>10</v>
      </c>
      <c r="F8" s="23" t="s">
        <v>36</v>
      </c>
      <c r="G8" s="21"/>
      <c r="I8" t="s">
        <v>81</v>
      </c>
      <c r="L8" t="s">
        <v>82</v>
      </c>
      <c r="M8" s="54">
        <f>M7-E10</f>
        <v>0</v>
      </c>
      <c r="N8" t="s">
        <v>19</v>
      </c>
    </row>
    <row r="9" spans="1:14" ht="15.75">
      <c r="A9" s="34"/>
      <c r="B9" s="9"/>
      <c r="C9" s="35"/>
      <c r="D9" s="20" t="s">
        <v>77</v>
      </c>
      <c r="E9" s="44">
        <f>(J3-I3)*(J3-I3)*(-2.5*D4-4*E4-3*F4-2*G4-H4+J4+2*K4+3*L4+4*M4+2.5*N4)</f>
        <v>0</v>
      </c>
      <c r="F9" s="23" t="s">
        <v>56</v>
      </c>
      <c r="G9" s="21"/>
      <c r="I9" s="55" t="s">
        <v>62</v>
      </c>
      <c r="L9" t="s">
        <v>80</v>
      </c>
      <c r="M9" s="13">
        <f>E10+E14-M7</f>
        <v>0.10000000000000009</v>
      </c>
      <c r="N9" t="s">
        <v>19</v>
      </c>
    </row>
    <row r="10" spans="1:14" ht="15.75">
      <c r="A10" s="27" t="s">
        <v>122</v>
      </c>
      <c r="B10" s="28"/>
      <c r="C10" s="29"/>
      <c r="D10" s="20" t="s">
        <v>54</v>
      </c>
      <c r="E10" s="44">
        <f>E8/E6</f>
        <v>1</v>
      </c>
      <c r="F10" s="33" t="s">
        <v>24</v>
      </c>
      <c r="G10" s="21"/>
      <c r="I10" t="s">
        <v>59</v>
      </c>
      <c r="L10" t="s">
        <v>61</v>
      </c>
      <c r="M10" s="8">
        <f>(0+(E10-E10)*TAN(C2*PI()/180))*COS(C2*PI()/180)-M8*SIN(C2*PI()/180)</f>
        <v>0</v>
      </c>
      <c r="N10" t="s">
        <v>19</v>
      </c>
    </row>
    <row r="11" spans="1:7" ht="15.75">
      <c r="A11" s="34"/>
      <c r="B11" s="9"/>
      <c r="C11" s="35"/>
      <c r="D11" s="20" t="s">
        <v>79</v>
      </c>
      <c r="E11" s="44">
        <f>E9/E6</f>
        <v>0</v>
      </c>
      <c r="F11" s="33" t="s">
        <v>55</v>
      </c>
      <c r="G11" s="21"/>
    </row>
    <row r="12" spans="1:6" ht="15.75">
      <c r="A12" s="27" t="s">
        <v>242</v>
      </c>
      <c r="B12" s="28"/>
      <c r="C12" s="29"/>
      <c r="D12" s="20" t="s">
        <v>49</v>
      </c>
      <c r="E12" s="44">
        <v>1</v>
      </c>
      <c r="F12" s="21" t="s">
        <v>35</v>
      </c>
    </row>
    <row r="13" spans="1:6" ht="15.75">
      <c r="A13" s="34"/>
      <c r="B13" s="9"/>
      <c r="C13" s="35"/>
      <c r="D13" s="20" t="s">
        <v>50</v>
      </c>
      <c r="E13" s="44">
        <v>1</v>
      </c>
      <c r="F13" s="21" t="s">
        <v>35</v>
      </c>
    </row>
    <row r="14" spans="1:6" ht="15.75">
      <c r="A14" s="22" t="s">
        <v>27</v>
      </c>
      <c r="B14" s="23"/>
      <c r="C14" s="21"/>
      <c r="D14" s="20" t="s">
        <v>57</v>
      </c>
      <c r="E14" s="44">
        <f>E12/E6</f>
        <v>0.1</v>
      </c>
      <c r="F14" s="21" t="s">
        <v>19</v>
      </c>
    </row>
    <row r="15" spans="1:6" ht="15.75">
      <c r="A15" s="36" t="s">
        <v>28</v>
      </c>
      <c r="B15" s="23"/>
      <c r="C15" s="21"/>
      <c r="D15" s="20" t="s">
        <v>58</v>
      </c>
      <c r="E15" s="44">
        <f>E13/E6</f>
        <v>0.1</v>
      </c>
      <c r="F15" s="21" t="s">
        <v>19</v>
      </c>
    </row>
    <row r="16" spans="1:6" ht="12.75">
      <c r="A16" s="73"/>
      <c r="B16" s="9"/>
      <c r="C16" s="9"/>
      <c r="D16" s="41"/>
      <c r="E16" s="53"/>
      <c r="F16" s="9"/>
    </row>
    <row r="17" spans="1:8" ht="12.75">
      <c r="A17" s="73" t="s">
        <v>238</v>
      </c>
      <c r="B17" s="9"/>
      <c r="C17" s="9"/>
      <c r="D17" s="41"/>
      <c r="E17" s="53"/>
      <c r="F17" s="9"/>
      <c r="H17" s="54"/>
    </row>
    <row r="18" spans="1:6" ht="12.75">
      <c r="A18" s="73" t="s">
        <v>241</v>
      </c>
      <c r="B18" s="9"/>
      <c r="C18" s="9"/>
      <c r="D18" s="41"/>
      <c r="E18" s="53"/>
      <c r="F18" s="9"/>
    </row>
    <row r="19" spans="1:6" ht="12.75">
      <c r="A19" s="73" t="s">
        <v>244</v>
      </c>
      <c r="B19" s="9"/>
      <c r="C19" s="9"/>
      <c r="D19" s="41"/>
      <c r="E19" s="53"/>
      <c r="F19" s="9"/>
    </row>
    <row r="20" spans="1:6" ht="12.75">
      <c r="A20" s="73"/>
      <c r="B20" s="9"/>
      <c r="C20" s="9"/>
      <c r="D20" s="41"/>
      <c r="E20" s="53"/>
      <c r="F20" s="9"/>
    </row>
    <row r="21" spans="1:6" ht="12.75">
      <c r="A21" s="73"/>
      <c r="B21" s="9"/>
      <c r="C21" s="9"/>
      <c r="D21" s="41"/>
      <c r="E21" s="53"/>
      <c r="F21" s="9"/>
    </row>
    <row r="22" spans="1:6" ht="12.75">
      <c r="A22" s="73"/>
      <c r="B22" s="9"/>
      <c r="C22" s="9"/>
      <c r="D22" s="41"/>
      <c r="E22" s="53"/>
      <c r="F22" s="9"/>
    </row>
    <row r="23" spans="1:6" ht="12.75">
      <c r="A23" s="73"/>
      <c r="B23" s="9"/>
      <c r="C23" s="9"/>
      <c r="D23" s="41"/>
      <c r="E23" s="53"/>
      <c r="F23" s="9"/>
    </row>
    <row r="24" spans="1:6" ht="12.75">
      <c r="A24" s="73"/>
      <c r="B24" s="9"/>
      <c r="C24" s="9"/>
      <c r="D24" s="41"/>
      <c r="E24" s="53"/>
      <c r="F24" s="9"/>
    </row>
    <row r="25" spans="1:6" ht="12.75">
      <c r="A25" s="73"/>
      <c r="B25" s="9"/>
      <c r="C25" s="9"/>
      <c r="D25" s="41"/>
      <c r="E25" s="53"/>
      <c r="F25" s="9"/>
    </row>
    <row r="26" spans="1:6" ht="12.75">
      <c r="A26" s="73"/>
      <c r="B26" s="9"/>
      <c r="C26" s="9"/>
      <c r="D26" s="41"/>
      <c r="E26" s="53"/>
      <c r="F26" s="9"/>
    </row>
    <row r="27" spans="1:6" ht="12.75">
      <c r="A27" s="73"/>
      <c r="B27" s="9"/>
      <c r="C27" s="9"/>
      <c r="D27" s="41"/>
      <c r="E27" s="53"/>
      <c r="F27" s="9"/>
    </row>
    <row r="28" spans="1:6" ht="12.75">
      <c r="A28" s="73"/>
      <c r="B28" s="9"/>
      <c r="C28" s="9"/>
      <c r="D28" s="41"/>
      <c r="E28" s="53"/>
      <c r="F28" s="9"/>
    </row>
    <row r="29" spans="1:6" ht="12.75">
      <c r="A29" s="73"/>
      <c r="B29" s="9"/>
      <c r="C29" s="9"/>
      <c r="D29" s="41"/>
      <c r="E29" s="53"/>
      <c r="F29" s="9"/>
    </row>
    <row r="30" spans="1:6" ht="12.75">
      <c r="A30" s="73"/>
      <c r="B30" s="9"/>
      <c r="C30" s="9"/>
      <c r="D30" s="41"/>
      <c r="E30" s="53"/>
      <c r="F30" s="9"/>
    </row>
    <row r="31" spans="1:6" ht="12.75">
      <c r="A31" s="73"/>
      <c r="B31" s="9"/>
      <c r="C31" s="9"/>
      <c r="D31" s="41"/>
      <c r="E31" s="53"/>
      <c r="F31" s="9"/>
    </row>
    <row r="32" spans="1:6" ht="12.75">
      <c r="A32" s="73"/>
      <c r="B32" s="9"/>
      <c r="C32" s="9"/>
      <c r="D32" s="41"/>
      <c r="E32" s="53"/>
      <c r="F32" s="9"/>
    </row>
    <row r="33" spans="1:6" ht="12.75">
      <c r="A33" s="73"/>
      <c r="B33" s="9"/>
      <c r="C33" s="9"/>
      <c r="D33" s="41"/>
      <c r="E33" s="53"/>
      <c r="F33" s="9"/>
    </row>
    <row r="34" spans="1:14" ht="12.75">
      <c r="A34" s="9"/>
      <c r="B34" s="9"/>
      <c r="C34" s="9"/>
      <c r="E34" s="53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51" t="s">
        <v>51</v>
      </c>
      <c r="B35" s="50"/>
      <c r="C35" s="52">
        <v>15</v>
      </c>
      <c r="D35" s="12">
        <v>0</v>
      </c>
      <c r="E35" s="46">
        <v>1</v>
      </c>
      <c r="F35" s="12">
        <v>2</v>
      </c>
      <c r="G35" s="12">
        <v>3</v>
      </c>
      <c r="H35" s="12">
        <v>4</v>
      </c>
      <c r="I35" s="12">
        <v>5</v>
      </c>
      <c r="J35" s="12">
        <v>6</v>
      </c>
      <c r="K35" s="12">
        <v>7</v>
      </c>
      <c r="L35" s="12">
        <v>8</v>
      </c>
      <c r="M35" s="12">
        <v>9</v>
      </c>
      <c r="N35" s="12">
        <v>10</v>
      </c>
    </row>
    <row r="36" spans="1:14" ht="12.75">
      <c r="A36" s="22" t="s">
        <v>23</v>
      </c>
      <c r="B36" s="23"/>
      <c r="C36" s="59" t="s">
        <v>19</v>
      </c>
      <c r="D36" s="106">
        <v>-1</v>
      </c>
      <c r="E36" s="106">
        <v>-1</v>
      </c>
      <c r="F36" s="106">
        <v>-1</v>
      </c>
      <c r="G36" s="106">
        <v>-1</v>
      </c>
      <c r="H36" s="106">
        <v>-1</v>
      </c>
      <c r="I36" s="5">
        <v>0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</row>
    <row r="37" spans="1:14" ht="14.25">
      <c r="A37" s="22" t="s">
        <v>83</v>
      </c>
      <c r="B37" s="23"/>
      <c r="C37" s="59" t="s">
        <v>33</v>
      </c>
      <c r="D37" s="76">
        <v>0</v>
      </c>
      <c r="E37" s="77">
        <v>-0.025</v>
      </c>
      <c r="F37" s="76">
        <v>-0.05</v>
      </c>
      <c r="G37" s="76">
        <v>-0.075</v>
      </c>
      <c r="H37" s="76">
        <v>-0.1</v>
      </c>
      <c r="I37" s="76">
        <v>-0.1</v>
      </c>
      <c r="J37" s="76">
        <v>-0.1</v>
      </c>
      <c r="K37" s="76">
        <v>-0.075</v>
      </c>
      <c r="L37" s="76">
        <v>-0.05</v>
      </c>
      <c r="M37" s="76">
        <v>-0.025</v>
      </c>
      <c r="N37" s="76">
        <v>0</v>
      </c>
    </row>
    <row r="38" spans="1:14" ht="12.75">
      <c r="A38" s="22" t="s">
        <v>74</v>
      </c>
      <c r="B38" s="23"/>
      <c r="C38" s="59" t="s">
        <v>19</v>
      </c>
      <c r="D38" s="38">
        <v>0.2</v>
      </c>
      <c r="E38" s="38">
        <v>0.2</v>
      </c>
      <c r="F38" s="38">
        <v>0.2</v>
      </c>
      <c r="G38" s="38">
        <v>0.2</v>
      </c>
      <c r="H38" s="38">
        <v>0.2</v>
      </c>
      <c r="I38" s="38">
        <v>0.2</v>
      </c>
      <c r="J38" s="38">
        <v>0.2</v>
      </c>
      <c r="K38" s="38">
        <v>0.2</v>
      </c>
      <c r="L38" s="38">
        <v>0.2</v>
      </c>
      <c r="M38" s="38">
        <v>0.2</v>
      </c>
      <c r="N38" s="38">
        <v>0.2</v>
      </c>
    </row>
    <row r="39" spans="1:14" ht="12.75">
      <c r="A39" s="27" t="s">
        <v>75</v>
      </c>
      <c r="B39" s="9"/>
      <c r="C39" s="62" t="s">
        <v>19</v>
      </c>
      <c r="D39" s="38">
        <v>-0.2</v>
      </c>
      <c r="E39" s="38">
        <v>-0.2</v>
      </c>
      <c r="F39" s="38">
        <v>-0.2</v>
      </c>
      <c r="G39" s="38">
        <v>-0.2</v>
      </c>
      <c r="H39" s="38">
        <v>-0.2</v>
      </c>
      <c r="I39" s="38">
        <v>-0.2</v>
      </c>
      <c r="J39" s="38">
        <v>-0.2</v>
      </c>
      <c r="K39" s="38">
        <v>-0.2</v>
      </c>
      <c r="L39" s="38">
        <v>-0.2</v>
      </c>
      <c r="M39" s="38">
        <v>-0.2</v>
      </c>
      <c r="N39" s="38">
        <v>-0.2</v>
      </c>
    </row>
    <row r="40" spans="1:14" ht="15.75">
      <c r="A40" s="22" t="s">
        <v>85</v>
      </c>
      <c r="B40" s="23"/>
      <c r="C40" s="60" t="s">
        <v>19</v>
      </c>
      <c r="D40" s="76">
        <v>0</v>
      </c>
      <c r="E40" s="77">
        <v>-0.025</v>
      </c>
      <c r="F40" s="76">
        <v>-0.05</v>
      </c>
      <c r="G40" s="76">
        <v>-0.075</v>
      </c>
      <c r="H40" s="76">
        <v>-0.1</v>
      </c>
      <c r="I40" s="76">
        <v>-0.1</v>
      </c>
      <c r="J40" s="76">
        <v>-0.1</v>
      </c>
      <c r="K40" s="76">
        <v>-0.075</v>
      </c>
      <c r="L40" s="76">
        <v>-0.05</v>
      </c>
      <c r="M40" s="76">
        <v>-0.025</v>
      </c>
      <c r="N40" s="76">
        <v>0</v>
      </c>
    </row>
    <row r="41" spans="1:14" ht="14.25">
      <c r="A41" s="22" t="s">
        <v>84</v>
      </c>
      <c r="B41" s="23"/>
      <c r="C41" s="59" t="s">
        <v>33</v>
      </c>
      <c r="D41" s="76">
        <v>0</v>
      </c>
      <c r="E41" s="76">
        <v>0.05</v>
      </c>
      <c r="F41" s="76">
        <v>0.1</v>
      </c>
      <c r="G41" s="76">
        <v>0.15</v>
      </c>
      <c r="H41" s="76">
        <v>0.2</v>
      </c>
      <c r="I41" s="76">
        <v>0.2</v>
      </c>
      <c r="J41" s="76">
        <v>0.2</v>
      </c>
      <c r="K41" s="76">
        <v>0.15</v>
      </c>
      <c r="L41" s="76">
        <v>0.1</v>
      </c>
      <c r="M41" s="76">
        <v>0.05</v>
      </c>
      <c r="N41" s="76">
        <v>0</v>
      </c>
    </row>
    <row r="42" spans="1:14" ht="12.75">
      <c r="A42" s="22" t="s">
        <v>74</v>
      </c>
      <c r="B42" s="23"/>
      <c r="C42" s="59" t="s">
        <v>19</v>
      </c>
      <c r="D42" s="38">
        <v>0.6</v>
      </c>
      <c r="E42" s="38">
        <v>0.6</v>
      </c>
      <c r="F42" s="38">
        <v>0.6</v>
      </c>
      <c r="G42" s="38">
        <v>0.6</v>
      </c>
      <c r="H42" s="38">
        <v>0.6</v>
      </c>
      <c r="I42" s="38">
        <v>0.6</v>
      </c>
      <c r="J42" s="38">
        <v>0.6</v>
      </c>
      <c r="K42" s="38">
        <v>0.6</v>
      </c>
      <c r="L42" s="38">
        <v>0.6</v>
      </c>
      <c r="M42" s="38">
        <v>0.6</v>
      </c>
      <c r="N42" s="38">
        <v>0.6</v>
      </c>
    </row>
    <row r="43" spans="1:14" ht="12.75">
      <c r="A43" s="22" t="s">
        <v>75</v>
      </c>
      <c r="B43" s="23"/>
      <c r="C43" s="60" t="s">
        <v>19</v>
      </c>
      <c r="D43" s="38">
        <v>0.2</v>
      </c>
      <c r="E43" s="38">
        <v>0.2</v>
      </c>
      <c r="F43" s="38">
        <v>0.2</v>
      </c>
      <c r="G43" s="38">
        <v>0.2</v>
      </c>
      <c r="H43" s="38">
        <v>0.2</v>
      </c>
      <c r="I43" s="38">
        <v>0.2</v>
      </c>
      <c r="J43" s="38">
        <v>0.2</v>
      </c>
      <c r="K43" s="38">
        <v>0.2</v>
      </c>
      <c r="L43" s="38">
        <v>0.2</v>
      </c>
      <c r="M43" s="38">
        <v>0.2</v>
      </c>
      <c r="N43" s="38">
        <v>0.2</v>
      </c>
    </row>
    <row r="44" spans="1:14" ht="15.75">
      <c r="A44" s="22" t="s">
        <v>86</v>
      </c>
      <c r="B44" s="23"/>
      <c r="C44" s="60" t="s">
        <v>19</v>
      </c>
      <c r="D44" s="76">
        <v>0</v>
      </c>
      <c r="E44" s="76">
        <v>0.05</v>
      </c>
      <c r="F44" s="76">
        <v>0.1</v>
      </c>
      <c r="G44" s="76">
        <v>0.15</v>
      </c>
      <c r="H44" s="76">
        <v>0.2</v>
      </c>
      <c r="I44" s="76">
        <v>0.2</v>
      </c>
      <c r="J44" s="76">
        <v>0.2</v>
      </c>
      <c r="K44" s="76">
        <v>0.15</v>
      </c>
      <c r="L44" s="76">
        <v>0.1</v>
      </c>
      <c r="M44" s="76">
        <v>0.05</v>
      </c>
      <c r="N44" s="76">
        <v>0</v>
      </c>
    </row>
    <row r="46" spans="1:14" ht="15.75">
      <c r="A46" s="24" t="s">
        <v>87</v>
      </c>
      <c r="B46" s="25"/>
      <c r="C46" s="26"/>
      <c r="D46" s="20" t="s">
        <v>88</v>
      </c>
      <c r="E46" s="44">
        <f>(J36-I36)*(0.5*D37+E37+F37+G37+H37+I37+J37+K37+L37+M37+0.5*N37)</f>
        <v>-0.6</v>
      </c>
      <c r="F46" s="70" t="s">
        <v>34</v>
      </c>
      <c r="G46" s="34"/>
      <c r="H46" s="24" t="s">
        <v>98</v>
      </c>
      <c r="I46" s="25"/>
      <c r="J46" s="26"/>
      <c r="K46" s="20" t="s">
        <v>101</v>
      </c>
      <c r="L46" s="44">
        <f>(J36-I36)*(0.5*D41+E41+F41+G41+H41+I41+J41+K41+L41+M41+0.5*N41)</f>
        <v>1.2</v>
      </c>
      <c r="M46" s="70" t="s">
        <v>34</v>
      </c>
      <c r="N46" s="34"/>
    </row>
    <row r="47" spans="1:15" ht="15.75">
      <c r="A47" s="47" t="s">
        <v>89</v>
      </c>
      <c r="B47" s="48"/>
      <c r="C47" s="49"/>
      <c r="D47" s="20" t="s">
        <v>90</v>
      </c>
      <c r="E47" s="44">
        <f>(J36-I36)*(J36-I36)*((-2.5)*D37+(-4)*E37+(-3)*F37+(-2)*G37-H37+J37+2*K37+3*L37+4*M37+2.5*N37)</f>
        <v>-2.7755575615628914E-17</v>
      </c>
      <c r="F47" s="70" t="s">
        <v>91</v>
      </c>
      <c r="G47" s="34"/>
      <c r="H47" s="47" t="s">
        <v>99</v>
      </c>
      <c r="I47" s="48"/>
      <c r="J47" s="49"/>
      <c r="K47" s="20" t="s">
        <v>102</v>
      </c>
      <c r="L47" s="44">
        <f>(J36-I36)*(J36-I36)*((-2.5)*D41+(-4)*E41+(-3)*F41+(-2)*G41-H41+J41+2*K41+3*L41+4*M41+2.5*N41)</f>
        <v>5.551115123125783E-17</v>
      </c>
      <c r="M47" s="70" t="s">
        <v>91</v>
      </c>
      <c r="N47" s="34"/>
      <c r="O47" s="74"/>
    </row>
    <row r="48" spans="1:15" ht="15.75">
      <c r="A48" s="63"/>
      <c r="B48" s="64"/>
      <c r="C48" s="65"/>
      <c r="D48" s="20" t="s">
        <v>92</v>
      </c>
      <c r="E48" s="44">
        <f>(J36-I36)*(0.5*D37*D39+E37*E39+F37*F39+G37*G39+H37*H39+I37*I39+J37*J39+K37*K39+L37*L39+M37*M39+0.5*N37*N39)</f>
        <v>0.12000000000000002</v>
      </c>
      <c r="F48" s="70" t="s">
        <v>35</v>
      </c>
      <c r="G48" s="34"/>
      <c r="H48" s="63"/>
      <c r="I48" s="64"/>
      <c r="J48" s="65"/>
      <c r="K48" s="20" t="s">
        <v>103</v>
      </c>
      <c r="L48" s="44">
        <f>(J36-I36)*(0.5*D41*D43+E41*E43+F41*F43+G41*G43+H41*H43+I41*I43+J41*J43+K41*K43+L41*L43+M41*M43+0.5*N41*N43)</f>
        <v>0.24000000000000005</v>
      </c>
      <c r="M48" s="70" t="s">
        <v>35</v>
      </c>
      <c r="N48" s="34"/>
      <c r="O48" s="74"/>
    </row>
    <row r="49" spans="1:15" ht="15.75">
      <c r="A49" s="66"/>
      <c r="B49" s="67"/>
      <c r="C49" s="68"/>
      <c r="D49" s="20" t="s">
        <v>93</v>
      </c>
      <c r="E49" s="44">
        <f>(J36-I36)*(0.5*D37*D38+E37*E38+F37*F38+G37*G38+H37*H38+I37*I38+J37*J38+K37*K38+L37*L38+M37*M38+0.5*N37*N38)</f>
        <v>-0.12000000000000002</v>
      </c>
      <c r="F49" s="70" t="s">
        <v>35</v>
      </c>
      <c r="G49" s="34"/>
      <c r="H49" s="66"/>
      <c r="I49" s="67"/>
      <c r="J49" s="68"/>
      <c r="K49" s="20" t="s">
        <v>104</v>
      </c>
      <c r="L49" s="44">
        <f>(J36-I36)*(0.5*D41*D42+E41*E42+F41*F42+G41*G42+H41*H42+I41*I42+J41*J42+K41*K42+L41*L42+M41*M42+0.5*N41*N42)</f>
        <v>0.72</v>
      </c>
      <c r="M49" s="70" t="s">
        <v>35</v>
      </c>
      <c r="N49" s="34"/>
      <c r="O49" s="74"/>
    </row>
    <row r="50" spans="1:14" ht="15.75">
      <c r="A50" s="63" t="s">
        <v>94</v>
      </c>
      <c r="B50" s="64"/>
      <c r="C50" s="49"/>
      <c r="D50" s="20" t="s">
        <v>95</v>
      </c>
      <c r="E50" s="44">
        <f>E47/E46</f>
        <v>4.625929269271486E-17</v>
      </c>
      <c r="F50" s="70" t="s">
        <v>19</v>
      </c>
      <c r="G50" s="34"/>
      <c r="H50" s="63" t="s">
        <v>100</v>
      </c>
      <c r="I50" s="64"/>
      <c r="J50" s="49"/>
      <c r="K50" s="20" t="s">
        <v>105</v>
      </c>
      <c r="L50" s="44">
        <f>L47/L46</f>
        <v>4.625929269271486E-17</v>
      </c>
      <c r="M50" s="70" t="s">
        <v>19</v>
      </c>
      <c r="N50" s="34"/>
    </row>
    <row r="51" spans="1:14" ht="15.75">
      <c r="A51" s="63"/>
      <c r="B51" s="64"/>
      <c r="C51" s="65"/>
      <c r="D51" s="20" t="s">
        <v>96</v>
      </c>
      <c r="E51" s="44">
        <f>E48/E46</f>
        <v>-0.20000000000000004</v>
      </c>
      <c r="F51" s="70" t="s">
        <v>19</v>
      </c>
      <c r="G51" s="34"/>
      <c r="H51" s="63"/>
      <c r="I51" s="64"/>
      <c r="J51" s="65"/>
      <c r="K51" s="20" t="s">
        <v>106</v>
      </c>
      <c r="L51" s="44">
        <f>L48/L46</f>
        <v>0.20000000000000004</v>
      </c>
      <c r="M51" s="70" t="s">
        <v>19</v>
      </c>
      <c r="N51" s="34"/>
    </row>
    <row r="52" spans="1:14" ht="15.75">
      <c r="A52" s="66"/>
      <c r="B52" s="67"/>
      <c r="C52" s="68"/>
      <c r="D52" s="69" t="s">
        <v>97</v>
      </c>
      <c r="E52" s="44">
        <f>E49/E46</f>
        <v>0.20000000000000004</v>
      </c>
      <c r="F52" s="70" t="s">
        <v>19</v>
      </c>
      <c r="G52" s="34"/>
      <c r="H52" s="66"/>
      <c r="I52" s="67"/>
      <c r="J52" s="68"/>
      <c r="K52" s="69" t="s">
        <v>107</v>
      </c>
      <c r="L52" s="44">
        <f>L49/L46</f>
        <v>0.6</v>
      </c>
      <c r="M52" s="70" t="s">
        <v>19</v>
      </c>
      <c r="N52" s="34"/>
    </row>
    <row r="53" spans="1:13" ht="15.75">
      <c r="A53" s="22" t="s">
        <v>52</v>
      </c>
      <c r="B53" s="23"/>
      <c r="C53" s="21"/>
      <c r="D53" s="71" t="s">
        <v>108</v>
      </c>
      <c r="E53" s="44">
        <f>(0.5*(D44-D40)+E44-E40+F44-F40+G44-G40+H44-H40+I44-I40+J44-J40+K44-K40+L44-L40+M44-M40+0.5*(N44-N40))*(J36-I36)</f>
        <v>1.8</v>
      </c>
      <c r="F53" s="59" t="s">
        <v>33</v>
      </c>
      <c r="H53" s="22" t="s">
        <v>53</v>
      </c>
      <c r="I53" s="23"/>
      <c r="J53" s="21"/>
      <c r="K53" s="71" t="s">
        <v>114</v>
      </c>
      <c r="L53" s="23">
        <f>0.5*(L46+E46)/E53</f>
        <v>0.16666666666666666</v>
      </c>
      <c r="M53" s="59" t="s">
        <v>19</v>
      </c>
    </row>
    <row r="54" spans="1:13" ht="15.75">
      <c r="A54" s="27" t="s">
        <v>111</v>
      </c>
      <c r="B54" s="28"/>
      <c r="C54" s="29"/>
      <c r="D54" s="71" t="s">
        <v>112</v>
      </c>
      <c r="E54" s="44">
        <f>(J36-I36)*(J36-I36)*((-2.5)*(D44-D40)+(-4)*(E44-E40)+(-3)*(F44-F40)+(-2)*(G44-G40)-(H44-H40)+J44-J40+2*(K44-K40)+3*(L44-L40)+4*(M44-M40)+2.5*(N44-N40))</f>
        <v>-1.1102230246251565E-16</v>
      </c>
      <c r="F54" s="60" t="s">
        <v>19</v>
      </c>
      <c r="H54" s="27" t="s">
        <v>115</v>
      </c>
      <c r="I54" s="28"/>
      <c r="J54" s="29"/>
      <c r="K54" s="71" t="s">
        <v>132</v>
      </c>
      <c r="L54" s="23">
        <f>L53*COS((C2*PI()/180))/SIN((C35*PI()/180)-(C2*PI()/180))</f>
        <v>0.6439505508593789</v>
      </c>
      <c r="M54" s="59">
        <f>L54</f>
        <v>0.6439505508593789</v>
      </c>
    </row>
    <row r="55" spans="1:13" ht="15.75">
      <c r="A55" s="30"/>
      <c r="B55" s="31"/>
      <c r="C55" s="32"/>
      <c r="D55" s="71" t="s">
        <v>113</v>
      </c>
      <c r="E55" s="44">
        <f>0.5*(J36-I36)*(0.5*(D44-D40)*(D44+B4)+(E44-E40)*(E44+E40)+(F44-F40)*(F44+F40)+(G44-G40)*(G44+G40)+(H44-H40)*(H44+H40)+(I44-I40)*(I44+I40)+(J44-J40)*(J44+J40)+(K44-K40)*(K44+K40)+(L44-L40)*(L44+L40)+(M44-M40)*(M44+M40)+0.5*(N44-N40)*(N44+N40))</f>
        <v>0.07125000000000001</v>
      </c>
      <c r="F55" s="60" t="s">
        <v>19</v>
      </c>
      <c r="H55" s="30"/>
      <c r="I55" s="31"/>
      <c r="J55" s="32"/>
      <c r="K55" s="71" t="s">
        <v>133</v>
      </c>
      <c r="L55" s="23">
        <f>L53*SIN((C2*PI()/180))/SIN((C35*PI()/180)-(C2*PI()/180))</f>
        <v>0</v>
      </c>
      <c r="M55" s="59">
        <f>L55</f>
        <v>0</v>
      </c>
    </row>
    <row r="56" spans="1:13" ht="15.75">
      <c r="A56" s="27" t="s">
        <v>127</v>
      </c>
      <c r="B56" s="28"/>
      <c r="C56" s="29"/>
      <c r="D56" s="71" t="s">
        <v>109</v>
      </c>
      <c r="E56" s="44">
        <f>E54/E53</f>
        <v>-6.167905692361981E-17</v>
      </c>
      <c r="F56" s="59" t="s">
        <v>19</v>
      </c>
      <c r="H56" s="27" t="s">
        <v>118</v>
      </c>
      <c r="I56" s="28"/>
      <c r="J56" s="29"/>
      <c r="K56" s="71" t="s">
        <v>116</v>
      </c>
      <c r="L56" s="75">
        <f>E56</f>
        <v>-6.167905692361981E-17</v>
      </c>
      <c r="M56" s="59" t="s">
        <v>19</v>
      </c>
    </row>
    <row r="57" spans="1:13" ht="15.75">
      <c r="A57" s="30"/>
      <c r="B57" s="31"/>
      <c r="C57" s="32"/>
      <c r="D57" s="71" t="s">
        <v>110</v>
      </c>
      <c r="E57" s="44">
        <f>E55/E53</f>
        <v>0.03958333333333334</v>
      </c>
      <c r="F57" s="59" t="s">
        <v>19</v>
      </c>
      <c r="H57" s="34"/>
      <c r="I57" s="9"/>
      <c r="J57" s="35"/>
      <c r="K57" s="71" t="s">
        <v>117</v>
      </c>
      <c r="L57" s="23">
        <f>E57*COS(C35*PI()/180)+0.5*L53*SIN(C35*PI()/180)</f>
        <v>0.05980281771581902</v>
      </c>
      <c r="M57" s="59" t="s">
        <v>19</v>
      </c>
    </row>
    <row r="58" spans="8:13" ht="15.75">
      <c r="H58" s="30"/>
      <c r="I58" s="31"/>
      <c r="J58" s="32"/>
      <c r="K58" s="71" t="s">
        <v>245</v>
      </c>
      <c r="L58" s="23">
        <f>0.462+E57*SIN(C35*PI()/180)-0.5*L53*COS(C35*PI()/180)</f>
        <v>0.3917511016778858</v>
      </c>
      <c r="M58" s="59" t="s">
        <v>19</v>
      </c>
    </row>
    <row r="59" spans="4:10" ht="15.75">
      <c r="D59" s="27" t="s">
        <v>26</v>
      </c>
      <c r="E59" s="28"/>
      <c r="F59" s="29"/>
      <c r="G59" s="20" t="s">
        <v>119</v>
      </c>
      <c r="H59" s="44">
        <f>E6*E11+L46*L50-2*E53*L53*L56+E46*E50</f>
        <v>6.476300976980079E-17</v>
      </c>
      <c r="I59" s="23" t="s">
        <v>56</v>
      </c>
      <c r="J59" s="21"/>
    </row>
    <row r="60" spans="4:12" ht="15.75">
      <c r="D60" s="34"/>
      <c r="E60" s="9"/>
      <c r="F60" s="35"/>
      <c r="G60" s="20" t="s">
        <v>120</v>
      </c>
      <c r="H60" s="44">
        <f>E6*0+L46*L51-2*E53*L53*L57+E46*E51</f>
        <v>0.3241183093705087</v>
      </c>
      <c r="I60" s="23" t="s">
        <v>37</v>
      </c>
      <c r="J60" s="21"/>
      <c r="K60" s="117" t="s">
        <v>246</v>
      </c>
      <c r="L60" s="54"/>
    </row>
    <row r="61" spans="4:10" ht="15.75">
      <c r="D61" s="30"/>
      <c r="E61" s="31"/>
      <c r="F61" s="32"/>
      <c r="G61" s="20" t="s">
        <v>121</v>
      </c>
      <c r="H61" s="44">
        <f>E6*E10+L46*L52-2*E53*L53*L58+E46*E52</f>
        <v>10.36494933899327</v>
      </c>
      <c r="I61" s="23" t="s">
        <v>36</v>
      </c>
      <c r="J61" s="21"/>
    </row>
    <row r="62" spans="4:12" ht="12.75">
      <c r="D62" s="27" t="s">
        <v>122</v>
      </c>
      <c r="E62" s="28"/>
      <c r="F62" s="29"/>
      <c r="G62" s="20" t="s">
        <v>124</v>
      </c>
      <c r="H62" s="44">
        <f>H59/E6</f>
        <v>6.476300976980079E-18</v>
      </c>
      <c r="I62" s="33" t="s">
        <v>55</v>
      </c>
      <c r="J62" s="21"/>
      <c r="L62" s="54"/>
    </row>
    <row r="63" spans="4:10" ht="12.75">
      <c r="D63" s="34"/>
      <c r="E63" s="9"/>
      <c r="F63" s="35"/>
      <c r="G63" s="20" t="s">
        <v>125</v>
      </c>
      <c r="H63" s="44">
        <f>H60/E6</f>
        <v>0.03241183093705087</v>
      </c>
      <c r="I63" s="33" t="s">
        <v>32</v>
      </c>
      <c r="J63" s="21"/>
    </row>
    <row r="64" spans="4:10" ht="12.75">
      <c r="D64" s="30"/>
      <c r="E64" s="31"/>
      <c r="F64" s="32"/>
      <c r="G64" s="72" t="s">
        <v>123</v>
      </c>
      <c r="H64" s="44">
        <f>H61/E6</f>
        <v>1.036494933899327</v>
      </c>
      <c r="I64" s="33" t="s">
        <v>24</v>
      </c>
      <c r="J64" s="21"/>
    </row>
    <row r="65" spans="4:10" ht="12.75">
      <c r="D65" s="22" t="s">
        <v>59</v>
      </c>
      <c r="E65" s="23"/>
      <c r="F65" s="21"/>
      <c r="G65" s="72" t="s">
        <v>126</v>
      </c>
      <c r="H65" s="44">
        <f>(H63+(H64-E10)*TAN(C35*PI()/180))*COS(C35*PI()/180)-M8*SIN(C35*PI()/180)</f>
        <v>0.04075300852231588</v>
      </c>
      <c r="I65" s="33" t="s">
        <v>19</v>
      </c>
      <c r="J65" s="21"/>
    </row>
    <row r="67" spans="1:14" ht="12.75">
      <c r="A67" s="51" t="s">
        <v>51</v>
      </c>
      <c r="B67" s="50"/>
      <c r="C67" s="52">
        <v>30</v>
      </c>
      <c r="D67" s="12">
        <v>0</v>
      </c>
      <c r="E67" s="46">
        <v>1</v>
      </c>
      <c r="F67" s="12">
        <v>2</v>
      </c>
      <c r="G67" s="12">
        <v>3</v>
      </c>
      <c r="H67" s="12">
        <v>4</v>
      </c>
      <c r="I67" s="12">
        <v>5</v>
      </c>
      <c r="J67" s="12">
        <v>6</v>
      </c>
      <c r="K67" s="12">
        <v>7</v>
      </c>
      <c r="L67" s="12">
        <v>8</v>
      </c>
      <c r="M67" s="12">
        <v>9</v>
      </c>
      <c r="N67" s="12">
        <v>10</v>
      </c>
    </row>
    <row r="68" spans="1:14" ht="12.75">
      <c r="A68" s="22" t="s">
        <v>23</v>
      </c>
      <c r="B68" s="23"/>
      <c r="C68" s="59" t="s">
        <v>19</v>
      </c>
      <c r="D68" s="106">
        <v>-1</v>
      </c>
      <c r="E68" s="106">
        <v>-1</v>
      </c>
      <c r="F68" s="106">
        <v>-1</v>
      </c>
      <c r="G68" s="106">
        <v>-1</v>
      </c>
      <c r="H68" s="106">
        <v>-1</v>
      </c>
      <c r="I68" s="5">
        <v>0</v>
      </c>
      <c r="J68" s="4">
        <v>1</v>
      </c>
      <c r="K68" s="4">
        <v>1</v>
      </c>
      <c r="L68" s="4">
        <v>1</v>
      </c>
      <c r="M68" s="4">
        <v>1</v>
      </c>
      <c r="N68" s="4">
        <v>1</v>
      </c>
    </row>
    <row r="69" spans="1:14" ht="14.25">
      <c r="A69" s="22" t="s">
        <v>83</v>
      </c>
      <c r="B69" s="23"/>
      <c r="C69" s="59" t="s">
        <v>33</v>
      </c>
      <c r="D69" s="76">
        <v>0</v>
      </c>
      <c r="E69" s="77">
        <v>-0.025</v>
      </c>
      <c r="F69" s="76">
        <v>-0.05</v>
      </c>
      <c r="G69" s="76">
        <v>-0.075</v>
      </c>
      <c r="H69" s="76">
        <v>-0.1</v>
      </c>
      <c r="I69" s="76">
        <v>-0.1</v>
      </c>
      <c r="J69" s="76">
        <v>-0.1</v>
      </c>
      <c r="K69" s="76">
        <v>-0.075</v>
      </c>
      <c r="L69" s="76">
        <v>-0.05</v>
      </c>
      <c r="M69" s="76">
        <v>-0.025</v>
      </c>
      <c r="N69" s="76">
        <v>0</v>
      </c>
    </row>
    <row r="70" spans="1:14" ht="12.75">
      <c r="A70" s="22" t="s">
        <v>74</v>
      </c>
      <c r="B70" s="23"/>
      <c r="C70" s="59" t="s">
        <v>19</v>
      </c>
      <c r="D70" s="38">
        <v>0.2</v>
      </c>
      <c r="E70" s="38">
        <v>0.2</v>
      </c>
      <c r="F70" s="38">
        <v>0.2</v>
      </c>
      <c r="G70" s="38">
        <v>0.2</v>
      </c>
      <c r="H70" s="38">
        <v>0.2</v>
      </c>
      <c r="I70" s="38">
        <v>0.2</v>
      </c>
      <c r="J70" s="38">
        <v>0.2</v>
      </c>
      <c r="K70" s="38">
        <v>0.2</v>
      </c>
      <c r="L70" s="38">
        <v>0.2</v>
      </c>
      <c r="M70" s="38">
        <v>0.2</v>
      </c>
      <c r="N70" s="38">
        <v>0.2</v>
      </c>
    </row>
    <row r="71" spans="1:14" ht="12.75">
      <c r="A71" s="27" t="s">
        <v>75</v>
      </c>
      <c r="B71" s="9"/>
      <c r="C71" s="62" t="s">
        <v>19</v>
      </c>
      <c r="D71" s="38">
        <v>-0.2</v>
      </c>
      <c r="E71" s="38">
        <v>-0.2</v>
      </c>
      <c r="F71" s="38">
        <v>-0.2</v>
      </c>
      <c r="G71" s="38">
        <v>-0.2</v>
      </c>
      <c r="H71" s="38">
        <v>-0.2</v>
      </c>
      <c r="I71" s="38">
        <v>-0.2</v>
      </c>
      <c r="J71" s="38">
        <v>-0.2</v>
      </c>
      <c r="K71" s="38">
        <v>-0.2</v>
      </c>
      <c r="L71" s="38">
        <v>-0.2</v>
      </c>
      <c r="M71" s="38">
        <v>-0.2</v>
      </c>
      <c r="N71" s="38">
        <v>-0.2</v>
      </c>
    </row>
    <row r="72" spans="1:14" ht="15.75">
      <c r="A72" s="22" t="s">
        <v>85</v>
      </c>
      <c r="B72" s="23"/>
      <c r="C72" s="60" t="s">
        <v>19</v>
      </c>
      <c r="D72" s="76">
        <v>0</v>
      </c>
      <c r="E72" s="77">
        <v>-0.025</v>
      </c>
      <c r="F72" s="76">
        <v>-0.05</v>
      </c>
      <c r="G72" s="76">
        <v>-0.075</v>
      </c>
      <c r="H72" s="76">
        <v>-0.1</v>
      </c>
      <c r="I72" s="76">
        <v>-0.1</v>
      </c>
      <c r="J72" s="76">
        <v>-0.1</v>
      </c>
      <c r="K72" s="76">
        <v>-0.075</v>
      </c>
      <c r="L72" s="76">
        <v>-0.05</v>
      </c>
      <c r="M72" s="76">
        <v>-0.025</v>
      </c>
      <c r="N72" s="76">
        <v>0</v>
      </c>
    </row>
    <row r="73" spans="1:14" ht="14.25">
      <c r="A73" s="22" t="s">
        <v>84</v>
      </c>
      <c r="B73" s="23"/>
      <c r="C73" s="59" t="s">
        <v>33</v>
      </c>
      <c r="D73" s="76">
        <v>0</v>
      </c>
      <c r="E73" s="76">
        <v>0.05</v>
      </c>
      <c r="F73" s="76">
        <v>0.1</v>
      </c>
      <c r="G73" s="76">
        <v>0.15</v>
      </c>
      <c r="H73" s="76">
        <v>0.2</v>
      </c>
      <c r="I73" s="76">
        <v>0.2</v>
      </c>
      <c r="J73" s="76">
        <v>0.2</v>
      </c>
      <c r="K73" s="76">
        <v>0.15</v>
      </c>
      <c r="L73" s="76">
        <v>0.1</v>
      </c>
      <c r="M73" s="76">
        <v>0.05</v>
      </c>
      <c r="N73" s="76">
        <v>0</v>
      </c>
    </row>
    <row r="74" spans="1:14" ht="12.75">
      <c r="A74" s="22" t="s">
        <v>74</v>
      </c>
      <c r="B74" s="23"/>
      <c r="C74" s="59" t="s">
        <v>19</v>
      </c>
      <c r="D74" s="38">
        <v>0.6</v>
      </c>
      <c r="E74" s="38">
        <v>0.6</v>
      </c>
      <c r="F74" s="38">
        <v>0.6</v>
      </c>
      <c r="G74" s="38">
        <v>0.6</v>
      </c>
      <c r="H74" s="38">
        <v>0.6</v>
      </c>
      <c r="I74" s="38">
        <v>0.6</v>
      </c>
      <c r="J74" s="38">
        <v>0.6</v>
      </c>
      <c r="K74" s="38">
        <v>0.6</v>
      </c>
      <c r="L74" s="38">
        <v>0.6</v>
      </c>
      <c r="M74" s="38">
        <v>0.6</v>
      </c>
      <c r="N74" s="38">
        <v>0.6</v>
      </c>
    </row>
    <row r="75" spans="1:14" ht="12.75">
      <c r="A75" s="22" t="s">
        <v>75</v>
      </c>
      <c r="B75" s="23"/>
      <c r="C75" s="60" t="s">
        <v>19</v>
      </c>
      <c r="D75" s="38">
        <v>0.2</v>
      </c>
      <c r="E75" s="38">
        <v>0.2</v>
      </c>
      <c r="F75" s="38">
        <v>0.2</v>
      </c>
      <c r="G75" s="38">
        <v>0.2</v>
      </c>
      <c r="H75" s="38">
        <v>0.2</v>
      </c>
      <c r="I75" s="38">
        <v>0.2</v>
      </c>
      <c r="J75" s="38">
        <v>0.2</v>
      </c>
      <c r="K75" s="38">
        <v>0.2</v>
      </c>
      <c r="L75" s="38">
        <v>0.2</v>
      </c>
      <c r="M75" s="38">
        <v>0.2</v>
      </c>
      <c r="N75" s="38">
        <v>0.2</v>
      </c>
    </row>
    <row r="76" spans="1:14" ht="15.75">
      <c r="A76" s="22" t="s">
        <v>86</v>
      </c>
      <c r="B76" s="23"/>
      <c r="C76" s="60" t="s">
        <v>19</v>
      </c>
      <c r="D76" s="76">
        <v>0</v>
      </c>
      <c r="E76" s="76">
        <v>0.05</v>
      </c>
      <c r="F76" s="76">
        <v>0.1</v>
      </c>
      <c r="G76" s="76">
        <v>0.15</v>
      </c>
      <c r="H76" s="76">
        <v>0.2</v>
      </c>
      <c r="I76" s="76">
        <v>0.2</v>
      </c>
      <c r="J76" s="76">
        <v>0.2</v>
      </c>
      <c r="K76" s="76">
        <v>0.15</v>
      </c>
      <c r="L76" s="76">
        <v>0.1</v>
      </c>
      <c r="M76" s="76">
        <v>0.05</v>
      </c>
      <c r="N76" s="76">
        <v>0</v>
      </c>
    </row>
    <row r="78" spans="1:14" ht="15.75">
      <c r="A78" s="24" t="s">
        <v>87</v>
      </c>
      <c r="B78" s="25"/>
      <c r="C78" s="26"/>
      <c r="D78" s="20" t="s">
        <v>88</v>
      </c>
      <c r="E78" s="44">
        <f>(J68-I68)*(0.5*D69+E69+F69+G69+H69+I69+J69+K69+L69+M69+0.5*N69)</f>
        <v>-0.6</v>
      </c>
      <c r="F78" s="70" t="s">
        <v>34</v>
      </c>
      <c r="G78" s="34"/>
      <c r="H78" s="24" t="s">
        <v>98</v>
      </c>
      <c r="I78" s="25"/>
      <c r="J78" s="26"/>
      <c r="K78" s="20" t="s">
        <v>101</v>
      </c>
      <c r="L78" s="44">
        <f>(J68-I68)*(0.5*D73+E73+F73+G73+H73+I73+J73+K73+L73+M73+0.5*N73)</f>
        <v>1.2</v>
      </c>
      <c r="M78" s="70" t="s">
        <v>34</v>
      </c>
      <c r="N78" s="34"/>
    </row>
    <row r="79" spans="1:14" ht="15.75">
      <c r="A79" s="47" t="s">
        <v>89</v>
      </c>
      <c r="B79" s="48"/>
      <c r="C79" s="49"/>
      <c r="D79" s="20" t="s">
        <v>90</v>
      </c>
      <c r="E79" s="44">
        <f>(J68-I68)*(J68-I68)*((-2.5)*D69+(-4)*E69+(-3)*F69+(-2)*G69-H69+J69+2*K69+3*L69+4*M69+2.5*N69)</f>
        <v>-2.7755575615628914E-17</v>
      </c>
      <c r="F79" s="70" t="s">
        <v>91</v>
      </c>
      <c r="G79" s="34"/>
      <c r="H79" s="47" t="s">
        <v>99</v>
      </c>
      <c r="I79" s="48"/>
      <c r="J79" s="49"/>
      <c r="K79" s="20" t="s">
        <v>102</v>
      </c>
      <c r="L79" s="44">
        <f>(J68-I68)*(J68-I68)*((-2.5)*D73+(-4)*E73+(-3)*F73+(-2)*G73-H73+J73+2*K73+3*L73+4*M73+2.5*N73)</f>
        <v>5.551115123125783E-17</v>
      </c>
      <c r="M79" s="70" t="s">
        <v>91</v>
      </c>
      <c r="N79" s="34"/>
    </row>
    <row r="80" spans="1:14" ht="15.75">
      <c r="A80" s="63"/>
      <c r="B80" s="64"/>
      <c r="C80" s="65"/>
      <c r="D80" s="20" t="s">
        <v>92</v>
      </c>
      <c r="E80" s="44">
        <f>(J68-I68)*(0.5*D69*D71+E69*E71+F69*F71+G69*G71+H69*H71+I69*I71+J69*J71+K69*K71+L69*L71+M69*M71+0.5*N69*N71)</f>
        <v>0.12000000000000002</v>
      </c>
      <c r="F80" s="70" t="s">
        <v>35</v>
      </c>
      <c r="G80" s="34"/>
      <c r="H80" s="63"/>
      <c r="I80" s="64"/>
      <c r="J80" s="65"/>
      <c r="K80" s="20" t="s">
        <v>103</v>
      </c>
      <c r="L80" s="44">
        <f>(J68-I68)*(0.5*D73*D75+E73*E75+F73*F75+G73*G75+H73*H75+I73*I75+J73*J75+K73*K75+L73*L75+M73*M75+0.5*N73*N75)</f>
        <v>0.24000000000000005</v>
      </c>
      <c r="M80" s="70" t="s">
        <v>35</v>
      </c>
      <c r="N80" s="34"/>
    </row>
    <row r="81" spans="1:14" ht="15.75">
      <c r="A81" s="66"/>
      <c r="B81" s="67"/>
      <c r="C81" s="68"/>
      <c r="D81" s="20" t="s">
        <v>93</v>
      </c>
      <c r="E81" s="44">
        <f>(J68-I68)*(0.5*D69*D70+E69*E70+F69*F70+G69*G70+H69*H70+I69*I70+J69*J70+K69*K70+L69*L70+M69*M70+0.5*N69*N70)</f>
        <v>-0.12000000000000002</v>
      </c>
      <c r="F81" s="70" t="s">
        <v>35</v>
      </c>
      <c r="G81" s="34"/>
      <c r="H81" s="66"/>
      <c r="I81" s="67"/>
      <c r="J81" s="68"/>
      <c r="K81" s="20" t="s">
        <v>104</v>
      </c>
      <c r="L81" s="44">
        <f>(J68-I68)*(0.5*D73*D74+E73*E74+F73*F74+G73*G74+H73*H74+I73*I74+J73*J74+K73*K74+L73*L74+M73*M74+0.5*N73*N74)</f>
        <v>0.72</v>
      </c>
      <c r="M81" s="70" t="s">
        <v>35</v>
      </c>
      <c r="N81" s="34"/>
    </row>
    <row r="82" spans="1:14" ht="15.75">
      <c r="A82" s="63" t="s">
        <v>94</v>
      </c>
      <c r="B82" s="64"/>
      <c r="C82" s="49"/>
      <c r="D82" s="20" t="s">
        <v>95</v>
      </c>
      <c r="E82" s="44">
        <f>E79/E78</f>
        <v>4.625929269271486E-17</v>
      </c>
      <c r="F82" s="70" t="s">
        <v>19</v>
      </c>
      <c r="G82" s="34"/>
      <c r="H82" s="63" t="s">
        <v>100</v>
      </c>
      <c r="I82" s="64"/>
      <c r="J82" s="49"/>
      <c r="K82" s="20" t="s">
        <v>105</v>
      </c>
      <c r="L82" s="44">
        <f>L79/L78</f>
        <v>4.625929269271486E-17</v>
      </c>
      <c r="M82" s="70" t="s">
        <v>19</v>
      </c>
      <c r="N82" s="34"/>
    </row>
    <row r="83" spans="1:14" ht="15.75">
      <c r="A83" s="63"/>
      <c r="B83" s="64"/>
      <c r="C83" s="65"/>
      <c r="D83" s="20" t="s">
        <v>96</v>
      </c>
      <c r="E83" s="44">
        <f>E80/E78</f>
        <v>-0.20000000000000004</v>
      </c>
      <c r="F83" s="70" t="s">
        <v>19</v>
      </c>
      <c r="G83" s="34"/>
      <c r="H83" s="63"/>
      <c r="I83" s="64"/>
      <c r="J83" s="65"/>
      <c r="K83" s="20" t="s">
        <v>106</v>
      </c>
      <c r="L83" s="44">
        <f>L80/L78</f>
        <v>0.20000000000000004</v>
      </c>
      <c r="M83" s="70" t="s">
        <v>19</v>
      </c>
      <c r="N83" s="34"/>
    </row>
    <row r="84" spans="1:14" ht="15.75">
      <c r="A84" s="66"/>
      <c r="B84" s="67"/>
      <c r="C84" s="68"/>
      <c r="D84" s="69" t="s">
        <v>97</v>
      </c>
      <c r="E84" s="44">
        <f>E81/E78</f>
        <v>0.20000000000000004</v>
      </c>
      <c r="F84" s="70" t="s">
        <v>19</v>
      </c>
      <c r="G84" s="34"/>
      <c r="H84" s="66"/>
      <c r="I84" s="67"/>
      <c r="J84" s="68"/>
      <c r="K84" s="69" t="s">
        <v>107</v>
      </c>
      <c r="L84" s="44">
        <f>L81/L78</f>
        <v>0.6</v>
      </c>
      <c r="M84" s="70" t="s">
        <v>19</v>
      </c>
      <c r="N84" s="34"/>
    </row>
    <row r="85" spans="1:13" ht="15.75">
      <c r="A85" s="22" t="s">
        <v>52</v>
      </c>
      <c r="B85" s="23"/>
      <c r="C85" s="21"/>
      <c r="D85" s="71" t="s">
        <v>108</v>
      </c>
      <c r="E85" s="44">
        <f>(0.5*(D76-D72)+E76-E72+F76-F72+G76-G72+H76-H72+I76-I72+J76-J72+K76-K72+L76-L72+M76-M72+0.5*(N76-N72))*(J68-I68)</f>
        <v>1.8</v>
      </c>
      <c r="F85" s="59" t="s">
        <v>33</v>
      </c>
      <c r="H85" s="22" t="s">
        <v>53</v>
      </c>
      <c r="I85" s="23"/>
      <c r="J85" s="21"/>
      <c r="K85" s="71" t="s">
        <v>114</v>
      </c>
      <c r="L85" s="75">
        <f>0.5*(L78+E78)/E85</f>
        <v>0.16666666666666666</v>
      </c>
      <c r="M85" s="59" t="s">
        <v>19</v>
      </c>
    </row>
    <row r="86" spans="1:13" ht="15.75">
      <c r="A86" s="27" t="s">
        <v>111</v>
      </c>
      <c r="B86" s="28"/>
      <c r="C86" s="29"/>
      <c r="D86" s="71" t="s">
        <v>112</v>
      </c>
      <c r="E86" s="44">
        <f>(J68-I68)*(J68-I68)*((-2.5)*(D76-D72)+(-4)*(E76-E72)+(-3)*(F76-F72)+(-2)*(G76-G72)-(H76-H72)+J76-J72+2*(K76-K72)+3*(L76-L72)+4*(M76-M72)+2.5*(N76-N72))</f>
        <v>-1.1102230246251565E-16</v>
      </c>
      <c r="F86" s="60" t="s">
        <v>19</v>
      </c>
      <c r="H86" s="27" t="s">
        <v>115</v>
      </c>
      <c r="I86" s="28"/>
      <c r="J86" s="29"/>
      <c r="K86" s="71" t="s">
        <v>131</v>
      </c>
      <c r="L86" s="75">
        <f>L85*COS((C35*PI()/180))/SIN((C67*PI()/180)-(C35*PI()/180))</f>
        <v>0.6220084679281462</v>
      </c>
      <c r="M86" s="115">
        <f>M54+L86</f>
        <v>1.2659590187875251</v>
      </c>
    </row>
    <row r="87" spans="1:13" ht="15.75">
      <c r="A87" s="30"/>
      <c r="B87" s="31"/>
      <c r="C87" s="32"/>
      <c r="D87" s="71" t="s">
        <v>113</v>
      </c>
      <c r="E87" s="44">
        <f>0.5*(J68-I68)*(0.5*(D76-D72)*(D76+B36)+(E76-E72)*(E76+E72)+(F76-F72)*(F76+F72)+(G76-G72)*(G76+G72)+(H76-H72)*(H76+H72)+(I76-I72)*(I76+I72)+(J76-J72)*(J76+J72)+(K76-K72)*(K76+K72)+(L76-L72)*(L76+L72)+(M76-M72)*(M76+M72)+0.5*(N76-N72)*(N76+N72))</f>
        <v>0.07125000000000001</v>
      </c>
      <c r="F87" s="60" t="s">
        <v>19</v>
      </c>
      <c r="H87" s="30"/>
      <c r="I87" s="31"/>
      <c r="J87" s="32"/>
      <c r="K87" s="71" t="s">
        <v>128</v>
      </c>
      <c r="L87" s="75">
        <f>L85*SIN((C35*PI()/180))/SIN((C67*PI()/180)-(C35*PI()/180))</f>
        <v>0.16666666666666666</v>
      </c>
      <c r="M87" s="115">
        <f>M55+L87</f>
        <v>0.16666666666666666</v>
      </c>
    </row>
    <row r="88" spans="1:13" ht="15.75">
      <c r="A88" s="27" t="s">
        <v>127</v>
      </c>
      <c r="B88" s="28"/>
      <c r="C88" s="29"/>
      <c r="D88" s="71" t="s">
        <v>109</v>
      </c>
      <c r="E88" s="44">
        <f>E86/E85</f>
        <v>-6.167905692361981E-17</v>
      </c>
      <c r="F88" s="59" t="s">
        <v>19</v>
      </c>
      <c r="H88" s="27" t="s">
        <v>118</v>
      </c>
      <c r="I88" s="28"/>
      <c r="J88" s="29"/>
      <c r="K88" s="71" t="s">
        <v>116</v>
      </c>
      <c r="L88" s="75">
        <f>E88</f>
        <v>-6.167905692361981E-17</v>
      </c>
      <c r="M88" s="59" t="s">
        <v>19</v>
      </c>
    </row>
    <row r="89" spans="1:13" ht="15.75">
      <c r="A89" s="30"/>
      <c r="B89" s="31"/>
      <c r="C89" s="32"/>
      <c r="D89" s="71" t="s">
        <v>110</v>
      </c>
      <c r="E89" s="44">
        <f>E87/E85</f>
        <v>0.03958333333333334</v>
      </c>
      <c r="F89" s="59" t="s">
        <v>19</v>
      </c>
      <c r="H89" s="34"/>
      <c r="I89" s="9"/>
      <c r="J89" s="35"/>
      <c r="K89" s="71" t="s">
        <v>117</v>
      </c>
      <c r="L89" s="75">
        <f>L54+E89*COS(C67*PI()/180)+0.5*L85*SIN(C67*PI()/180)</f>
        <v>0.7198973897591796</v>
      </c>
      <c r="M89" s="59" t="s">
        <v>19</v>
      </c>
    </row>
    <row r="90" spans="8:13" ht="15.75">
      <c r="H90" s="30"/>
      <c r="I90" s="31"/>
      <c r="J90" s="32"/>
      <c r="K90" s="71" t="s">
        <v>245</v>
      </c>
      <c r="L90" s="75">
        <f>0.462+L55+E89*SIN(C67*PI()/180)-0.5*L85*COS(C67*PI()/180)</f>
        <v>0.40962288301796346</v>
      </c>
      <c r="M90" s="59" t="s">
        <v>19</v>
      </c>
    </row>
    <row r="91" spans="4:10" ht="15.75">
      <c r="D91" s="27" t="s">
        <v>26</v>
      </c>
      <c r="E91" s="28"/>
      <c r="F91" s="29"/>
      <c r="G91" s="20" t="s">
        <v>119</v>
      </c>
      <c r="H91" s="44">
        <f>E6*H62+L78*L82-2*E85*L85*L88+E78*E82</f>
        <v>1.2952601953960158E-16</v>
      </c>
      <c r="I91" s="23" t="s">
        <v>56</v>
      </c>
      <c r="J91" s="21"/>
    </row>
    <row r="92" spans="4:13" ht="15.75">
      <c r="D92" s="34"/>
      <c r="E92" s="9"/>
      <c r="F92" s="35"/>
      <c r="G92" s="20" t="s">
        <v>120</v>
      </c>
      <c r="H92" s="44">
        <f>E6*H63+L78*L83-2*E85*L85*L89+E78*E83</f>
        <v>0.252179875515001</v>
      </c>
      <c r="I92" s="23" t="s">
        <v>37</v>
      </c>
      <c r="J92" s="21"/>
      <c r="K92" s="117" t="s">
        <v>246</v>
      </c>
      <c r="M92" s="54"/>
    </row>
    <row r="93" spans="4:13" ht="15.75">
      <c r="D93" s="30"/>
      <c r="E93" s="31"/>
      <c r="F93" s="32"/>
      <c r="G93" s="20" t="s">
        <v>121</v>
      </c>
      <c r="H93" s="44">
        <f>E6*H64+L78*L84-2*E85*L85*L90+E78*E84</f>
        <v>10.719175609182493</v>
      </c>
      <c r="I93" s="23" t="s">
        <v>36</v>
      </c>
      <c r="J93" s="21"/>
      <c r="M93" s="54"/>
    </row>
    <row r="94" spans="4:13" ht="12.75">
      <c r="D94" s="27" t="s">
        <v>122</v>
      </c>
      <c r="E94" s="28"/>
      <c r="F94" s="29"/>
      <c r="G94" s="20" t="s">
        <v>124</v>
      </c>
      <c r="H94" s="44">
        <f>H91/E6</f>
        <v>1.2952601953960158E-17</v>
      </c>
      <c r="I94" s="33" t="s">
        <v>55</v>
      </c>
      <c r="J94" s="21"/>
      <c r="M94" s="54"/>
    </row>
    <row r="95" spans="4:10" ht="12.75">
      <c r="D95" s="34"/>
      <c r="E95" s="9"/>
      <c r="F95" s="35"/>
      <c r="G95" s="20" t="s">
        <v>125</v>
      </c>
      <c r="H95" s="44">
        <f>H92/E6</f>
        <v>0.0252179875515001</v>
      </c>
      <c r="I95" s="33" t="s">
        <v>32</v>
      </c>
      <c r="J95" s="21"/>
    </row>
    <row r="96" spans="4:10" ht="12.75">
      <c r="D96" s="30"/>
      <c r="E96" s="31"/>
      <c r="F96" s="32"/>
      <c r="G96" s="72" t="s">
        <v>123</v>
      </c>
      <c r="H96" s="44">
        <f>H93/E6</f>
        <v>1.0719175609182492</v>
      </c>
      <c r="I96" s="33" t="s">
        <v>24</v>
      </c>
      <c r="J96" s="21"/>
    </row>
    <row r="97" spans="4:10" ht="12.75">
      <c r="D97" s="22" t="s">
        <v>59</v>
      </c>
      <c r="E97" s="23"/>
      <c r="F97" s="21"/>
      <c r="G97" s="72" t="s">
        <v>126</v>
      </c>
      <c r="H97" s="44">
        <f>(H95+(H96-E10)*TAN(C67*PI()/180))*COS(C67*PI()/180)-M8*SIN(C67*PI()/180)</f>
        <v>0.05779819831104341</v>
      </c>
      <c r="I97" s="33" t="s">
        <v>19</v>
      </c>
      <c r="J97" s="21"/>
    </row>
    <row r="99" spans="1:14" ht="12.75">
      <c r="A99" s="51" t="s">
        <v>51</v>
      </c>
      <c r="B99" s="50"/>
      <c r="C99" s="52">
        <v>45</v>
      </c>
      <c r="D99" s="12">
        <v>0</v>
      </c>
      <c r="E99" s="46">
        <v>1</v>
      </c>
      <c r="F99" s="12">
        <v>2</v>
      </c>
      <c r="G99" s="12">
        <v>3</v>
      </c>
      <c r="H99" s="12">
        <v>4</v>
      </c>
      <c r="I99" s="12">
        <v>5</v>
      </c>
      <c r="J99" s="12">
        <v>6</v>
      </c>
      <c r="K99" s="12">
        <v>7</v>
      </c>
      <c r="L99" s="12">
        <v>8</v>
      </c>
      <c r="M99" s="12">
        <v>9</v>
      </c>
      <c r="N99" s="12">
        <v>10</v>
      </c>
    </row>
    <row r="100" spans="1:14" ht="12.75">
      <c r="A100" s="22" t="s">
        <v>23</v>
      </c>
      <c r="B100" s="23"/>
      <c r="C100" s="59" t="s">
        <v>19</v>
      </c>
      <c r="D100" s="106">
        <v>-1</v>
      </c>
      <c r="E100" s="106">
        <v>-1</v>
      </c>
      <c r="F100" s="106">
        <v>-1</v>
      </c>
      <c r="G100" s="106">
        <v>-1</v>
      </c>
      <c r="H100" s="106">
        <v>-1</v>
      </c>
      <c r="I100" s="5">
        <v>0</v>
      </c>
      <c r="J100" s="4">
        <v>1</v>
      </c>
      <c r="K100" s="4">
        <v>1</v>
      </c>
      <c r="L100" s="4">
        <v>1</v>
      </c>
      <c r="M100" s="4">
        <v>1</v>
      </c>
      <c r="N100" s="4">
        <v>1</v>
      </c>
    </row>
    <row r="101" spans="1:14" ht="14.25">
      <c r="A101" s="22" t="s">
        <v>83</v>
      </c>
      <c r="B101" s="23"/>
      <c r="C101" s="59" t="s">
        <v>33</v>
      </c>
      <c r="D101" s="76">
        <v>0</v>
      </c>
      <c r="E101" s="77">
        <v>-0.025</v>
      </c>
      <c r="F101" s="76">
        <v>-0.05</v>
      </c>
      <c r="G101" s="76">
        <v>-0.075</v>
      </c>
      <c r="H101" s="76">
        <v>-0.1</v>
      </c>
      <c r="I101" s="76">
        <v>-0.1</v>
      </c>
      <c r="J101" s="76">
        <v>-0.1</v>
      </c>
      <c r="K101" s="76">
        <v>-0.075</v>
      </c>
      <c r="L101" s="76">
        <v>-0.05</v>
      </c>
      <c r="M101" s="76">
        <v>-0.025</v>
      </c>
      <c r="N101" s="76">
        <v>0</v>
      </c>
    </row>
    <row r="102" spans="1:14" ht="12.75">
      <c r="A102" s="22" t="s">
        <v>74</v>
      </c>
      <c r="B102" s="23"/>
      <c r="C102" s="59" t="s">
        <v>19</v>
      </c>
      <c r="D102" s="38">
        <v>0.2</v>
      </c>
      <c r="E102" s="38">
        <v>0.2</v>
      </c>
      <c r="F102" s="38">
        <v>0.2</v>
      </c>
      <c r="G102" s="38">
        <v>0.2</v>
      </c>
      <c r="H102" s="38">
        <v>0.2</v>
      </c>
      <c r="I102" s="38">
        <v>0.2</v>
      </c>
      <c r="J102" s="38">
        <v>0.2</v>
      </c>
      <c r="K102" s="38">
        <v>0.2</v>
      </c>
      <c r="L102" s="38">
        <v>0.2</v>
      </c>
      <c r="M102" s="38">
        <v>0.2</v>
      </c>
      <c r="N102" s="38">
        <v>0.2</v>
      </c>
    </row>
    <row r="103" spans="1:14" ht="12.75">
      <c r="A103" s="27" t="s">
        <v>75</v>
      </c>
      <c r="B103" s="9"/>
      <c r="C103" s="62" t="s">
        <v>19</v>
      </c>
      <c r="D103" s="38">
        <v>-0.2</v>
      </c>
      <c r="E103" s="38">
        <v>-0.2</v>
      </c>
      <c r="F103" s="38">
        <v>-0.2</v>
      </c>
      <c r="G103" s="38">
        <v>-0.2</v>
      </c>
      <c r="H103" s="38">
        <v>-0.2</v>
      </c>
      <c r="I103" s="38">
        <v>-0.2</v>
      </c>
      <c r="J103" s="38">
        <v>-0.2</v>
      </c>
      <c r="K103" s="38">
        <v>-0.2</v>
      </c>
      <c r="L103" s="38">
        <v>-0.2</v>
      </c>
      <c r="M103" s="38">
        <v>-0.2</v>
      </c>
      <c r="N103" s="38">
        <v>-0.2</v>
      </c>
    </row>
    <row r="104" spans="1:14" ht="15.75">
      <c r="A104" s="22" t="s">
        <v>85</v>
      </c>
      <c r="B104" s="23"/>
      <c r="C104" s="60" t="s">
        <v>19</v>
      </c>
      <c r="D104" s="76">
        <v>0</v>
      </c>
      <c r="E104" s="77">
        <v>-0.025</v>
      </c>
      <c r="F104" s="76">
        <v>-0.05</v>
      </c>
      <c r="G104" s="76">
        <v>-0.075</v>
      </c>
      <c r="H104" s="76">
        <v>-0.1</v>
      </c>
      <c r="I104" s="76">
        <v>-0.1</v>
      </c>
      <c r="J104" s="76">
        <v>-0.1</v>
      </c>
      <c r="K104" s="76">
        <v>-0.075</v>
      </c>
      <c r="L104" s="76">
        <v>-0.05</v>
      </c>
      <c r="M104" s="76">
        <v>-0.025</v>
      </c>
      <c r="N104" s="76">
        <v>0</v>
      </c>
    </row>
    <row r="105" spans="1:14" ht="14.25">
      <c r="A105" s="22" t="s">
        <v>84</v>
      </c>
      <c r="B105" s="23"/>
      <c r="C105" s="59" t="s">
        <v>33</v>
      </c>
      <c r="D105" s="76">
        <v>0</v>
      </c>
      <c r="E105" s="76">
        <v>0.05</v>
      </c>
      <c r="F105" s="76">
        <v>0.1</v>
      </c>
      <c r="G105" s="76">
        <v>0.15</v>
      </c>
      <c r="H105" s="76">
        <v>0.2</v>
      </c>
      <c r="I105" s="76">
        <v>0.2</v>
      </c>
      <c r="J105" s="76">
        <v>0.2</v>
      </c>
      <c r="K105" s="76">
        <v>0.15</v>
      </c>
      <c r="L105" s="76">
        <v>0.1</v>
      </c>
      <c r="M105" s="76">
        <v>0.05</v>
      </c>
      <c r="N105" s="76">
        <v>0</v>
      </c>
    </row>
    <row r="106" spans="1:14" ht="12.75">
      <c r="A106" s="22" t="s">
        <v>74</v>
      </c>
      <c r="B106" s="23"/>
      <c r="C106" s="59" t="s">
        <v>19</v>
      </c>
      <c r="D106" s="38">
        <v>0.6</v>
      </c>
      <c r="E106" s="38">
        <v>0.6</v>
      </c>
      <c r="F106" s="38">
        <v>0.6</v>
      </c>
      <c r="G106" s="38">
        <v>0.6</v>
      </c>
      <c r="H106" s="38">
        <v>0.6</v>
      </c>
      <c r="I106" s="38">
        <v>0.6</v>
      </c>
      <c r="J106" s="38">
        <v>0.6</v>
      </c>
      <c r="K106" s="38">
        <v>0.6</v>
      </c>
      <c r="L106" s="38">
        <v>0.6</v>
      </c>
      <c r="M106" s="38">
        <v>0.6</v>
      </c>
      <c r="N106" s="38">
        <v>0.6</v>
      </c>
    </row>
    <row r="107" spans="1:14" ht="12.75">
      <c r="A107" s="22" t="s">
        <v>75</v>
      </c>
      <c r="B107" s="23"/>
      <c r="C107" s="60" t="s">
        <v>19</v>
      </c>
      <c r="D107" s="38">
        <v>0.2</v>
      </c>
      <c r="E107" s="38">
        <v>0.2</v>
      </c>
      <c r="F107" s="38">
        <v>0.2</v>
      </c>
      <c r="G107" s="38">
        <v>0.2</v>
      </c>
      <c r="H107" s="38">
        <v>0.2</v>
      </c>
      <c r="I107" s="38">
        <v>0.2</v>
      </c>
      <c r="J107" s="38">
        <v>0.2</v>
      </c>
      <c r="K107" s="38">
        <v>0.2</v>
      </c>
      <c r="L107" s="38">
        <v>0.2</v>
      </c>
      <c r="M107" s="38">
        <v>0.2</v>
      </c>
      <c r="N107" s="38">
        <v>0.2</v>
      </c>
    </row>
    <row r="108" spans="1:14" ht="15.75">
      <c r="A108" s="22" t="s">
        <v>86</v>
      </c>
      <c r="B108" s="23"/>
      <c r="C108" s="60" t="s">
        <v>19</v>
      </c>
      <c r="D108" s="76">
        <v>0</v>
      </c>
      <c r="E108" s="76">
        <v>0.05</v>
      </c>
      <c r="F108" s="76">
        <v>0.1</v>
      </c>
      <c r="G108" s="76">
        <v>0.15</v>
      </c>
      <c r="H108" s="76">
        <v>0.2</v>
      </c>
      <c r="I108" s="76">
        <v>0.2</v>
      </c>
      <c r="J108" s="76">
        <v>0.2</v>
      </c>
      <c r="K108" s="76">
        <v>0.15</v>
      </c>
      <c r="L108" s="76">
        <v>0.1</v>
      </c>
      <c r="M108" s="76">
        <v>0.05</v>
      </c>
      <c r="N108" s="76">
        <v>0</v>
      </c>
    </row>
    <row r="110" spans="1:14" ht="15.75">
      <c r="A110" s="24" t="s">
        <v>87</v>
      </c>
      <c r="B110" s="25"/>
      <c r="C110" s="26"/>
      <c r="D110" s="20" t="s">
        <v>88</v>
      </c>
      <c r="E110" s="44">
        <f>(J100-I100)*(0.5*D101+E101+F101+G101+H101+I101+J101+K101+L101+M101+0.5*N101)</f>
        <v>-0.6</v>
      </c>
      <c r="F110" s="70" t="s">
        <v>34</v>
      </c>
      <c r="G110" s="34"/>
      <c r="H110" s="24" t="s">
        <v>98</v>
      </c>
      <c r="I110" s="25"/>
      <c r="J110" s="26"/>
      <c r="K110" s="20" t="s">
        <v>101</v>
      </c>
      <c r="L110" s="44">
        <f>(J100-I100)*(0.5*D105+E105+F105+G105+H105+I105+J105+K105+L105+M105+0.5*N105)</f>
        <v>1.2</v>
      </c>
      <c r="M110" s="70" t="s">
        <v>34</v>
      </c>
      <c r="N110" s="34"/>
    </row>
    <row r="111" spans="1:14" ht="15.75">
      <c r="A111" s="47" t="s">
        <v>89</v>
      </c>
      <c r="B111" s="48"/>
      <c r="C111" s="49"/>
      <c r="D111" s="20" t="s">
        <v>90</v>
      </c>
      <c r="E111" s="44">
        <f>(J100-I100)*(J100-I100)*((-2.5)*D101+(-4)*E101+(-3)*F101+(-2)*G101-H101+J101+2*K101+3*L101+4*M101+2.5*N101)</f>
        <v>-2.7755575615628914E-17</v>
      </c>
      <c r="F111" s="70" t="s">
        <v>91</v>
      </c>
      <c r="G111" s="34"/>
      <c r="H111" s="47" t="s">
        <v>99</v>
      </c>
      <c r="I111" s="48"/>
      <c r="J111" s="49"/>
      <c r="K111" s="20" t="s">
        <v>102</v>
      </c>
      <c r="L111" s="44">
        <f>(J100-I100)*(J100-I100)*((-2.5)*D105+(-4)*E105+(-3)*F105+(-2)*G105-H105+J105+2*K105+3*L105+4*M105+2.5*N105)</f>
        <v>5.551115123125783E-17</v>
      </c>
      <c r="M111" s="70" t="s">
        <v>91</v>
      </c>
      <c r="N111" s="34"/>
    </row>
    <row r="112" spans="1:14" ht="15.75">
      <c r="A112" s="63"/>
      <c r="B112" s="64"/>
      <c r="C112" s="65"/>
      <c r="D112" s="20" t="s">
        <v>92</v>
      </c>
      <c r="E112" s="44">
        <f>(J100-I100)*(0.5*D101*D103+E101*E103+F101*F103+G101*G103+H101*H103+I101*I103+J101*J103+K101*K103+L101*L103+M101*M103+0.5*N101*N103)</f>
        <v>0.12000000000000002</v>
      </c>
      <c r="F112" s="70" t="s">
        <v>35</v>
      </c>
      <c r="G112" s="34"/>
      <c r="H112" s="63"/>
      <c r="I112" s="64"/>
      <c r="J112" s="65"/>
      <c r="K112" s="20" t="s">
        <v>103</v>
      </c>
      <c r="L112" s="44">
        <f>(J100-I100)*(0.5*D105*D107+E105*E107+F105*F107+G105*G107+H105*H107+I105*I107+J105*J107+K105*K107+L105*L107+M105*M107+0.5*N105*N107)</f>
        <v>0.24000000000000005</v>
      </c>
      <c r="M112" s="70" t="s">
        <v>35</v>
      </c>
      <c r="N112" s="34"/>
    </row>
    <row r="113" spans="1:14" ht="15.75">
      <c r="A113" s="66"/>
      <c r="B113" s="67"/>
      <c r="C113" s="68"/>
      <c r="D113" s="20" t="s">
        <v>93</v>
      </c>
      <c r="E113" s="44">
        <f>(J100-I100)*(0.5*D101*D102+E101*E102+F101*F102+G101*G102+H101*H102+I101*I102+J101*J102+K101*K102+L101*L102+M101*M102+0.5*N101*N102)</f>
        <v>-0.12000000000000002</v>
      </c>
      <c r="F113" s="70" t="s">
        <v>35</v>
      </c>
      <c r="G113" s="34"/>
      <c r="H113" s="66"/>
      <c r="I113" s="67"/>
      <c r="J113" s="68"/>
      <c r="K113" s="20" t="s">
        <v>104</v>
      </c>
      <c r="L113" s="44">
        <f>(J100-I100)*(0.5*D105*D106+E105*E106+F105*F106+G105*G106+H105*H106+I105*I106+J105*J106+K105*K106+L105*L106+M105*M106+0.5*N105*N106)</f>
        <v>0.72</v>
      </c>
      <c r="M113" s="70" t="s">
        <v>35</v>
      </c>
      <c r="N113" s="34"/>
    </row>
    <row r="114" spans="1:14" ht="15.75">
      <c r="A114" s="63" t="s">
        <v>94</v>
      </c>
      <c r="B114" s="64"/>
      <c r="C114" s="49"/>
      <c r="D114" s="20" t="s">
        <v>95</v>
      </c>
      <c r="E114" s="44">
        <f>E111/E110</f>
        <v>4.625929269271486E-17</v>
      </c>
      <c r="F114" s="70" t="s">
        <v>19</v>
      </c>
      <c r="G114" s="34"/>
      <c r="H114" s="63" t="s">
        <v>100</v>
      </c>
      <c r="I114" s="64"/>
      <c r="J114" s="49"/>
      <c r="K114" s="20" t="s">
        <v>105</v>
      </c>
      <c r="L114" s="44">
        <f>L111/L110</f>
        <v>4.625929269271486E-17</v>
      </c>
      <c r="M114" s="70" t="s">
        <v>19</v>
      </c>
      <c r="N114" s="34"/>
    </row>
    <row r="115" spans="1:14" ht="15.75">
      <c r="A115" s="63"/>
      <c r="B115" s="64"/>
      <c r="C115" s="65"/>
      <c r="D115" s="20" t="s">
        <v>96</v>
      </c>
      <c r="E115" s="44">
        <f>E112/E110</f>
        <v>-0.20000000000000004</v>
      </c>
      <c r="F115" s="70" t="s">
        <v>19</v>
      </c>
      <c r="G115" s="34"/>
      <c r="H115" s="63"/>
      <c r="I115" s="64"/>
      <c r="J115" s="65"/>
      <c r="K115" s="20" t="s">
        <v>106</v>
      </c>
      <c r="L115" s="44">
        <f>L112/L110</f>
        <v>0.20000000000000004</v>
      </c>
      <c r="M115" s="70" t="s">
        <v>19</v>
      </c>
      <c r="N115" s="34"/>
    </row>
    <row r="116" spans="1:14" ht="15.75">
      <c r="A116" s="66"/>
      <c r="B116" s="67"/>
      <c r="C116" s="68"/>
      <c r="D116" s="69" t="s">
        <v>97</v>
      </c>
      <c r="E116" s="44">
        <f>E113/E110</f>
        <v>0.20000000000000004</v>
      </c>
      <c r="F116" s="70" t="s">
        <v>19</v>
      </c>
      <c r="G116" s="34"/>
      <c r="H116" s="66"/>
      <c r="I116" s="67"/>
      <c r="J116" s="68"/>
      <c r="K116" s="69" t="s">
        <v>107</v>
      </c>
      <c r="L116" s="44">
        <f>L113/L110</f>
        <v>0.6</v>
      </c>
      <c r="M116" s="70" t="s">
        <v>19</v>
      </c>
      <c r="N116" s="34"/>
    </row>
    <row r="117" spans="1:13" ht="15.75">
      <c r="A117" s="22" t="s">
        <v>52</v>
      </c>
      <c r="B117" s="23"/>
      <c r="C117" s="21"/>
      <c r="D117" s="71" t="s">
        <v>108</v>
      </c>
      <c r="E117" s="44">
        <f>(0.5*(D108-D104)+E108-E104+F108-F104+G108-G104+H108-H104+I108-I104+J108-J104+K108-K104+L108-L104+M108-M104+0.5*(N108-N104))*(J100-I100)</f>
        <v>1.8</v>
      </c>
      <c r="F117" s="59" t="s">
        <v>33</v>
      </c>
      <c r="H117" s="22" t="s">
        <v>53</v>
      </c>
      <c r="I117" s="23"/>
      <c r="J117" s="21"/>
      <c r="K117" s="71" t="s">
        <v>114</v>
      </c>
      <c r="L117" s="23">
        <f>0.5*(L110+E110)/E117</f>
        <v>0.16666666666666666</v>
      </c>
      <c r="M117" s="59" t="s">
        <v>19</v>
      </c>
    </row>
    <row r="118" spans="1:13" ht="15.75">
      <c r="A118" s="27" t="s">
        <v>111</v>
      </c>
      <c r="B118" s="28"/>
      <c r="C118" s="29"/>
      <c r="D118" s="71" t="s">
        <v>112</v>
      </c>
      <c r="E118" s="44">
        <f>(J100-I100)*(J100-I100)*((-2.5)*(D108-D104)+(-4)*(E108-E104)+(-3)*(F108-F104)+(-2)*(G108-G104)-(H108-H104)+J108-J104+2*(K108-K104)+3*(L108-L104)+4*(M108-M104)+2.5*(N108-N104))</f>
        <v>-1.1102230246251565E-16</v>
      </c>
      <c r="F118" s="60" t="s">
        <v>19</v>
      </c>
      <c r="H118" s="27" t="s">
        <v>115</v>
      </c>
      <c r="I118" s="28"/>
      <c r="J118" s="29"/>
      <c r="K118" s="71" t="s">
        <v>129</v>
      </c>
      <c r="L118" s="23">
        <f>L117*COS((C67*PI()/180))/SIN((C99*PI()/180)-(C67*PI()/180))</f>
        <v>0.5576775358252052</v>
      </c>
      <c r="M118" s="59">
        <f>M86+L118</f>
        <v>1.8236365546127304</v>
      </c>
    </row>
    <row r="119" spans="1:13" ht="15.75">
      <c r="A119" s="30"/>
      <c r="B119" s="31"/>
      <c r="C119" s="32"/>
      <c r="D119" s="71" t="s">
        <v>113</v>
      </c>
      <c r="E119" s="44">
        <f>0.5*(J100-I100)*(0.5*(D108-D104)*(D108+B68)+(E108-E104)*(E108+E104)+(F108-F104)*(F108+F104)+(G108-G104)*(G108+G104)+(H108-H104)*(H108+H104)+(I108-I104)*(I108+I104)+(J108-J104)*(J108+J104)+(K108-K104)*(K108+K104)+(L108-L104)*(L108+L104)+(M108-M104)*(M108+M104)+0.5*(N108-N104)*(N108+N104))</f>
        <v>0.07125000000000001</v>
      </c>
      <c r="F119" s="60" t="s">
        <v>19</v>
      </c>
      <c r="H119" s="30"/>
      <c r="I119" s="31"/>
      <c r="J119" s="32"/>
      <c r="K119" s="71" t="s">
        <v>130</v>
      </c>
      <c r="L119" s="23">
        <f>L117*SIN((C67*PI()/180))/SIN((C99*PI()/180)-(C67*PI()/180))</f>
        <v>0.3219752754296893</v>
      </c>
      <c r="M119" s="59">
        <f>M87+L119</f>
        <v>0.4886419420963559</v>
      </c>
    </row>
    <row r="120" spans="1:13" ht="15.75">
      <c r="A120" s="27" t="s">
        <v>127</v>
      </c>
      <c r="B120" s="28"/>
      <c r="C120" s="29"/>
      <c r="D120" s="71" t="s">
        <v>109</v>
      </c>
      <c r="E120" s="44">
        <f>E118/E117</f>
        <v>-6.167905692361981E-17</v>
      </c>
      <c r="F120" s="59" t="s">
        <v>19</v>
      </c>
      <c r="H120" s="27" t="s">
        <v>118</v>
      </c>
      <c r="I120" s="28"/>
      <c r="J120" s="29"/>
      <c r="K120" s="71" t="s">
        <v>116</v>
      </c>
      <c r="L120" s="75">
        <f>E120</f>
        <v>-6.167905692361981E-17</v>
      </c>
      <c r="M120" s="59" t="s">
        <v>19</v>
      </c>
    </row>
    <row r="121" spans="1:13" ht="15.75">
      <c r="A121" s="30"/>
      <c r="B121" s="31"/>
      <c r="C121" s="32"/>
      <c r="D121" s="71" t="s">
        <v>110</v>
      </c>
      <c r="E121" s="44">
        <f>E119/E117</f>
        <v>0.03958333333333334</v>
      </c>
      <c r="F121" s="59" t="s">
        <v>19</v>
      </c>
      <c r="H121" s="34"/>
      <c r="I121" s="9"/>
      <c r="J121" s="35"/>
      <c r="K121" s="71" t="s">
        <v>117</v>
      </c>
      <c r="L121" s="23">
        <f>M86+E121*COS(C99*PI()/180)+0.5*L117*SIN(C99*PI()/180)</f>
        <v>1.3528742273083716</v>
      </c>
      <c r="M121" s="59" t="s">
        <v>19</v>
      </c>
    </row>
    <row r="122" spans="8:13" ht="15.75">
      <c r="H122" s="30"/>
      <c r="I122" s="31"/>
      <c r="J122" s="32"/>
      <c r="K122" s="71" t="s">
        <v>245</v>
      </c>
      <c r="L122" s="23">
        <f>0.462+M87+E121*SIN(C99*PI()/180)-0.5*L117*COS(C99*PI()/180)</f>
        <v>0.5977307449897553</v>
      </c>
      <c r="M122" s="59" t="s">
        <v>19</v>
      </c>
    </row>
    <row r="123" spans="4:10" ht="15.75">
      <c r="D123" s="27" t="s">
        <v>26</v>
      </c>
      <c r="E123" s="28"/>
      <c r="F123" s="29"/>
      <c r="G123" s="20" t="s">
        <v>119</v>
      </c>
      <c r="H123" s="44">
        <f>E6*H94+L110*L114-2*E117*L117*L120+E110*E114</f>
        <v>1.9428902930940237E-16</v>
      </c>
      <c r="I123" s="23" t="s">
        <v>56</v>
      </c>
      <c r="J123" s="21"/>
    </row>
    <row r="124" spans="4:13" ht="15.75">
      <c r="D124" s="34"/>
      <c r="E124" s="9"/>
      <c r="F124" s="35"/>
      <c r="G124" s="20" t="s">
        <v>120</v>
      </c>
      <c r="H124" s="44">
        <f>E6*H95+L110*L115-2*E117*L117*L121+E110*E115</f>
        <v>-0.1995446608700219</v>
      </c>
      <c r="I124" s="23" t="s">
        <v>37</v>
      </c>
      <c r="J124" s="21"/>
      <c r="K124" s="117" t="s">
        <v>246</v>
      </c>
      <c r="M124" s="54"/>
    </row>
    <row r="125" spans="4:13" ht="15.75">
      <c r="D125" s="30"/>
      <c r="E125" s="31"/>
      <c r="F125" s="32"/>
      <c r="G125" s="20" t="s">
        <v>121</v>
      </c>
      <c r="H125" s="44">
        <f>E6*H96+L110*L116-2*E117*L117*L122+E110*E116</f>
        <v>10.960537162188642</v>
      </c>
      <c r="I125" s="23" t="s">
        <v>36</v>
      </c>
      <c r="J125" s="21"/>
      <c r="M125" s="54"/>
    </row>
    <row r="126" spans="4:13" ht="12.75">
      <c r="D126" s="27" t="s">
        <v>122</v>
      </c>
      <c r="E126" s="28"/>
      <c r="F126" s="29"/>
      <c r="G126" s="20" t="s">
        <v>124</v>
      </c>
      <c r="H126" s="44">
        <f>H123/E6</f>
        <v>1.9428902930940238E-17</v>
      </c>
      <c r="I126" s="33" t="s">
        <v>55</v>
      </c>
      <c r="J126" s="21"/>
      <c r="M126" s="54"/>
    </row>
    <row r="127" spans="4:10" ht="12.75">
      <c r="D127" s="34"/>
      <c r="E127" s="9"/>
      <c r="F127" s="35"/>
      <c r="G127" s="20" t="s">
        <v>125</v>
      </c>
      <c r="H127" s="44">
        <f>H124/E6</f>
        <v>-0.01995446608700219</v>
      </c>
      <c r="I127" s="33" t="s">
        <v>32</v>
      </c>
      <c r="J127" s="21"/>
    </row>
    <row r="128" spans="4:10" ht="12.75">
      <c r="D128" s="30"/>
      <c r="E128" s="31"/>
      <c r="F128" s="32"/>
      <c r="G128" s="72" t="s">
        <v>123</v>
      </c>
      <c r="H128" s="44">
        <f>H125/E6</f>
        <v>1.0960537162188642</v>
      </c>
      <c r="I128" s="33" t="s">
        <v>24</v>
      </c>
      <c r="J128" s="21"/>
    </row>
    <row r="129" spans="4:10" ht="12.75">
      <c r="D129" s="22" t="s">
        <v>59</v>
      </c>
      <c r="E129" s="23"/>
      <c r="F129" s="21"/>
      <c r="G129" s="72" t="s">
        <v>126</v>
      </c>
      <c r="H129" s="44">
        <f>(H127+(H128-E10)*TAN(C99*PI()/180))*COS(C99*PI()/180)-M8*SIN(C99*PI()/180)</f>
        <v>0.053810295811450866</v>
      </c>
      <c r="I129" s="33" t="s">
        <v>19</v>
      </c>
      <c r="J129" s="21"/>
    </row>
    <row r="131" spans="1:14" ht="12.75">
      <c r="A131" s="51" t="s">
        <v>51</v>
      </c>
      <c r="B131" s="50"/>
      <c r="C131" s="52">
        <v>60</v>
      </c>
      <c r="D131" s="12">
        <v>0</v>
      </c>
      <c r="E131" s="46">
        <v>1</v>
      </c>
      <c r="F131" s="12">
        <v>2</v>
      </c>
      <c r="G131" s="12">
        <v>3</v>
      </c>
      <c r="H131" s="12">
        <v>4</v>
      </c>
      <c r="I131" s="12">
        <v>5</v>
      </c>
      <c r="J131" s="12">
        <v>6</v>
      </c>
      <c r="K131" s="12">
        <v>7</v>
      </c>
      <c r="L131" s="12">
        <v>8</v>
      </c>
      <c r="M131" s="12">
        <v>9</v>
      </c>
      <c r="N131" s="12">
        <v>10</v>
      </c>
    </row>
    <row r="132" spans="1:14" ht="12.75">
      <c r="A132" s="22" t="s">
        <v>23</v>
      </c>
      <c r="B132" s="23"/>
      <c r="C132" s="59" t="s">
        <v>19</v>
      </c>
      <c r="D132" s="106">
        <v>-1</v>
      </c>
      <c r="E132" s="106">
        <v>-1</v>
      </c>
      <c r="F132" s="106">
        <v>-1</v>
      </c>
      <c r="G132" s="106">
        <v>-1</v>
      </c>
      <c r="H132" s="106">
        <v>-1</v>
      </c>
      <c r="I132" s="5">
        <v>0</v>
      </c>
      <c r="J132" s="4">
        <v>1</v>
      </c>
      <c r="K132" s="4">
        <v>1</v>
      </c>
      <c r="L132" s="4">
        <v>1</v>
      </c>
      <c r="M132" s="4">
        <v>1</v>
      </c>
      <c r="N132" s="4">
        <v>1</v>
      </c>
    </row>
    <row r="133" spans="1:14" ht="14.25">
      <c r="A133" s="22" t="s">
        <v>83</v>
      </c>
      <c r="B133" s="23"/>
      <c r="C133" s="59" t="s">
        <v>33</v>
      </c>
      <c r="D133" s="76">
        <v>0</v>
      </c>
      <c r="E133" s="77">
        <v>-0.025</v>
      </c>
      <c r="F133" s="76">
        <v>-0.05</v>
      </c>
      <c r="G133" s="76">
        <v>-0.075</v>
      </c>
      <c r="H133" s="76">
        <v>-0.1</v>
      </c>
      <c r="I133" s="76">
        <v>-0.1</v>
      </c>
      <c r="J133" s="76">
        <v>-0.1</v>
      </c>
      <c r="K133" s="76">
        <v>-0.075</v>
      </c>
      <c r="L133" s="76">
        <v>-0.05</v>
      </c>
      <c r="M133" s="76">
        <v>-0.025</v>
      </c>
      <c r="N133" s="76">
        <v>0</v>
      </c>
    </row>
    <row r="134" spans="1:14" ht="12.75">
      <c r="A134" s="22" t="s">
        <v>74</v>
      </c>
      <c r="B134" s="23"/>
      <c r="C134" s="59" t="s">
        <v>19</v>
      </c>
      <c r="D134" s="38">
        <v>0.2</v>
      </c>
      <c r="E134" s="38">
        <v>0.2</v>
      </c>
      <c r="F134" s="38">
        <v>0.2</v>
      </c>
      <c r="G134" s="38">
        <v>0.2</v>
      </c>
      <c r="H134" s="38">
        <v>0.2</v>
      </c>
      <c r="I134" s="38">
        <v>0.2</v>
      </c>
      <c r="J134" s="38">
        <v>0.2</v>
      </c>
      <c r="K134" s="38">
        <v>0.2</v>
      </c>
      <c r="L134" s="38">
        <v>0.2</v>
      </c>
      <c r="M134" s="38">
        <v>0.2</v>
      </c>
      <c r="N134" s="38">
        <v>0.2</v>
      </c>
    </row>
    <row r="135" spans="1:14" ht="12.75">
      <c r="A135" s="27" t="s">
        <v>75</v>
      </c>
      <c r="B135" s="9"/>
      <c r="C135" s="62" t="s">
        <v>19</v>
      </c>
      <c r="D135" s="38">
        <v>-0.2</v>
      </c>
      <c r="E135" s="38">
        <v>-0.2</v>
      </c>
      <c r="F135" s="38">
        <v>-0.2</v>
      </c>
      <c r="G135" s="38">
        <v>-0.2</v>
      </c>
      <c r="H135" s="38">
        <v>-0.2</v>
      </c>
      <c r="I135" s="38">
        <v>-0.2</v>
      </c>
      <c r="J135" s="38">
        <v>-0.2</v>
      </c>
      <c r="K135" s="38">
        <v>-0.2</v>
      </c>
      <c r="L135" s="38">
        <v>-0.2</v>
      </c>
      <c r="M135" s="38">
        <v>-0.2</v>
      </c>
      <c r="N135" s="38">
        <v>-0.2</v>
      </c>
    </row>
    <row r="136" spans="1:14" ht="15.75">
      <c r="A136" s="22" t="s">
        <v>85</v>
      </c>
      <c r="B136" s="23"/>
      <c r="C136" s="60" t="s">
        <v>19</v>
      </c>
      <c r="D136" s="76">
        <v>0</v>
      </c>
      <c r="E136" s="77">
        <v>-0.025</v>
      </c>
      <c r="F136" s="76">
        <v>-0.05</v>
      </c>
      <c r="G136" s="76">
        <v>-0.075</v>
      </c>
      <c r="H136" s="76">
        <v>-0.1</v>
      </c>
      <c r="I136" s="76">
        <v>-0.1</v>
      </c>
      <c r="J136" s="76">
        <v>-0.1</v>
      </c>
      <c r="K136" s="76">
        <v>-0.075</v>
      </c>
      <c r="L136" s="76">
        <v>-0.05</v>
      </c>
      <c r="M136" s="76">
        <v>-0.025</v>
      </c>
      <c r="N136" s="76">
        <v>0</v>
      </c>
    </row>
    <row r="137" spans="1:14" ht="14.25">
      <c r="A137" s="22" t="s">
        <v>84</v>
      </c>
      <c r="B137" s="23"/>
      <c r="C137" s="59" t="s">
        <v>33</v>
      </c>
      <c r="D137" s="76">
        <v>0</v>
      </c>
      <c r="E137" s="76">
        <v>0.05</v>
      </c>
      <c r="F137" s="76">
        <v>0.1</v>
      </c>
      <c r="G137" s="76">
        <v>0.15</v>
      </c>
      <c r="H137" s="76">
        <v>0.2</v>
      </c>
      <c r="I137" s="76">
        <v>0.2</v>
      </c>
      <c r="J137" s="76">
        <v>0.2</v>
      </c>
      <c r="K137" s="76">
        <v>0.15</v>
      </c>
      <c r="L137" s="76">
        <v>0.1</v>
      </c>
      <c r="M137" s="76">
        <v>0.05</v>
      </c>
      <c r="N137" s="76">
        <v>0</v>
      </c>
    </row>
    <row r="138" spans="1:14" ht="12.75">
      <c r="A138" s="22" t="s">
        <v>74</v>
      </c>
      <c r="B138" s="23"/>
      <c r="C138" s="59" t="s">
        <v>19</v>
      </c>
      <c r="D138" s="38">
        <v>0.6</v>
      </c>
      <c r="E138" s="38">
        <v>0.6</v>
      </c>
      <c r="F138" s="38">
        <v>0.6</v>
      </c>
      <c r="G138" s="38">
        <v>0.6</v>
      </c>
      <c r="H138" s="38">
        <v>0.6</v>
      </c>
      <c r="I138" s="38">
        <v>0.6</v>
      </c>
      <c r="J138" s="38">
        <v>0.6</v>
      </c>
      <c r="K138" s="38">
        <v>0.6</v>
      </c>
      <c r="L138" s="38">
        <v>0.6</v>
      </c>
      <c r="M138" s="38">
        <v>0.6</v>
      </c>
      <c r="N138" s="38">
        <v>0.6</v>
      </c>
    </row>
    <row r="139" spans="1:14" ht="12.75">
      <c r="A139" s="22" t="s">
        <v>75</v>
      </c>
      <c r="B139" s="23"/>
      <c r="C139" s="60" t="s">
        <v>19</v>
      </c>
      <c r="D139" s="38">
        <v>0.2</v>
      </c>
      <c r="E139" s="38">
        <v>0.2</v>
      </c>
      <c r="F139" s="38">
        <v>0.2</v>
      </c>
      <c r="G139" s="38">
        <v>0.2</v>
      </c>
      <c r="H139" s="38">
        <v>0.2</v>
      </c>
      <c r="I139" s="38">
        <v>0.2</v>
      </c>
      <c r="J139" s="38">
        <v>0.2</v>
      </c>
      <c r="K139" s="38">
        <v>0.2</v>
      </c>
      <c r="L139" s="38">
        <v>0.2</v>
      </c>
      <c r="M139" s="38">
        <v>0.2</v>
      </c>
      <c r="N139" s="38">
        <v>0.2</v>
      </c>
    </row>
    <row r="140" spans="1:14" ht="15.75">
      <c r="A140" s="22" t="s">
        <v>86</v>
      </c>
      <c r="B140" s="23"/>
      <c r="C140" s="60" t="s">
        <v>19</v>
      </c>
      <c r="D140" s="76">
        <v>0</v>
      </c>
      <c r="E140" s="76">
        <v>0.05</v>
      </c>
      <c r="F140" s="76">
        <v>0.1</v>
      </c>
      <c r="G140" s="76">
        <v>0.15</v>
      </c>
      <c r="H140" s="76">
        <v>0.2</v>
      </c>
      <c r="I140" s="76">
        <v>0.2</v>
      </c>
      <c r="J140" s="76">
        <v>0.2</v>
      </c>
      <c r="K140" s="76">
        <v>0.15</v>
      </c>
      <c r="L140" s="76">
        <v>0.1</v>
      </c>
      <c r="M140" s="76">
        <v>0.05</v>
      </c>
      <c r="N140" s="76">
        <v>0</v>
      </c>
    </row>
    <row r="142" spans="1:14" ht="15.75">
      <c r="A142" s="24" t="s">
        <v>87</v>
      </c>
      <c r="B142" s="25"/>
      <c r="C142" s="26"/>
      <c r="D142" s="20" t="s">
        <v>88</v>
      </c>
      <c r="E142" s="44">
        <f>(J132-I132)*(0.5*D133+E133+F133+G133+H133+I133+J133+K133+L133+M133+0.5*N133)</f>
        <v>-0.6</v>
      </c>
      <c r="F142" s="70" t="s">
        <v>34</v>
      </c>
      <c r="G142" s="34"/>
      <c r="H142" s="24" t="s">
        <v>98</v>
      </c>
      <c r="I142" s="25"/>
      <c r="J142" s="26"/>
      <c r="K142" s="20" t="s">
        <v>101</v>
      </c>
      <c r="L142" s="44">
        <f>(J132-I132)*(0.5*D137+E137+F137+G137+H137+I137+J137+K137+L137+M137+0.5*N137)</f>
        <v>1.2</v>
      </c>
      <c r="M142" s="70" t="s">
        <v>34</v>
      </c>
      <c r="N142" s="34"/>
    </row>
    <row r="143" spans="1:14" ht="15.75">
      <c r="A143" s="47" t="s">
        <v>89</v>
      </c>
      <c r="B143" s="48"/>
      <c r="C143" s="49"/>
      <c r="D143" s="20" t="s">
        <v>90</v>
      </c>
      <c r="E143" s="44">
        <f>(J132-I132)*(J132-I132)*((-2.5)*D133+(-4)*E133+(-3)*F133+(-2)*G133-H133+J133+2*K133+3*L133+4*M133+2.5*N133)</f>
        <v>-2.7755575615628914E-17</v>
      </c>
      <c r="F143" s="70" t="s">
        <v>91</v>
      </c>
      <c r="G143" s="34"/>
      <c r="H143" s="47" t="s">
        <v>99</v>
      </c>
      <c r="I143" s="48"/>
      <c r="J143" s="49"/>
      <c r="K143" s="20" t="s">
        <v>102</v>
      </c>
      <c r="L143" s="44">
        <f>(J132-I132)*(J132-I132)*((-2.5)*D137+(-4)*E137+(-3)*F137+(-2)*G137-H137+J137+2*K137+3*L137+4*M137+2.5*N137)</f>
        <v>5.551115123125783E-17</v>
      </c>
      <c r="M143" s="70" t="s">
        <v>91</v>
      </c>
      <c r="N143" s="34"/>
    </row>
    <row r="144" spans="1:14" ht="15.75">
      <c r="A144" s="63"/>
      <c r="B144" s="64"/>
      <c r="C144" s="65"/>
      <c r="D144" s="20" t="s">
        <v>92</v>
      </c>
      <c r="E144" s="44">
        <f>(J132-I132)*(0.5*D133*D135+E133*E135+F133*F135+G133*G135+H133*H135+I133*I135+J133*J135+K133*K135+L133*L135+M133*M135+0.5*N133*N135)</f>
        <v>0.12000000000000002</v>
      </c>
      <c r="F144" s="70" t="s">
        <v>35</v>
      </c>
      <c r="G144" s="34"/>
      <c r="H144" s="63"/>
      <c r="I144" s="64"/>
      <c r="J144" s="65"/>
      <c r="K144" s="20" t="s">
        <v>103</v>
      </c>
      <c r="L144" s="44">
        <f>(J132-I132)*(0.5*D137*D139+E137*E139+F137*F139+G137*G139+H137*H139+I137*I139+J137*J139+K137*K139+L137*L139+M137*M139+0.5*N137*N139)</f>
        <v>0.24000000000000005</v>
      </c>
      <c r="M144" s="70" t="s">
        <v>35</v>
      </c>
      <c r="N144" s="34"/>
    </row>
    <row r="145" spans="1:14" ht="15.75">
      <c r="A145" s="66"/>
      <c r="B145" s="67"/>
      <c r="C145" s="68"/>
      <c r="D145" s="20" t="s">
        <v>93</v>
      </c>
      <c r="E145" s="44">
        <f>(J132-I132)*(0.5*D133*D134+E133*E134+F133*F134+G133*G134+H133*H134+I133*I134+J133*J134+K133*K134+L133*L134+M133*M134+0.5*N133*N134)</f>
        <v>-0.12000000000000002</v>
      </c>
      <c r="F145" s="70" t="s">
        <v>35</v>
      </c>
      <c r="G145" s="34"/>
      <c r="H145" s="66"/>
      <c r="I145" s="67"/>
      <c r="J145" s="68"/>
      <c r="K145" s="20" t="s">
        <v>104</v>
      </c>
      <c r="L145" s="44">
        <f>(J132-I132)*(0.5*D137*D138+E137*E138+F137*F138+G137*G138+H137*H138+I137*I138+J137*J138+K137*K138+L137*L138+M137*M138+0.5*N137*N138)</f>
        <v>0.72</v>
      </c>
      <c r="M145" s="70" t="s">
        <v>35</v>
      </c>
      <c r="N145" s="34"/>
    </row>
    <row r="146" spans="1:14" ht="15.75">
      <c r="A146" s="63" t="s">
        <v>94</v>
      </c>
      <c r="B146" s="64"/>
      <c r="C146" s="49"/>
      <c r="D146" s="20" t="s">
        <v>95</v>
      </c>
      <c r="E146" s="44">
        <f>E143/E142</f>
        <v>4.625929269271486E-17</v>
      </c>
      <c r="F146" s="70" t="s">
        <v>19</v>
      </c>
      <c r="G146" s="34"/>
      <c r="H146" s="63" t="s">
        <v>100</v>
      </c>
      <c r="I146" s="64"/>
      <c r="J146" s="49"/>
      <c r="K146" s="20" t="s">
        <v>105</v>
      </c>
      <c r="L146" s="44">
        <f>L143/L142</f>
        <v>4.625929269271486E-17</v>
      </c>
      <c r="M146" s="70" t="s">
        <v>19</v>
      </c>
      <c r="N146" s="34"/>
    </row>
    <row r="147" spans="1:14" ht="15.75">
      <c r="A147" s="63"/>
      <c r="B147" s="64"/>
      <c r="C147" s="65"/>
      <c r="D147" s="20" t="s">
        <v>96</v>
      </c>
      <c r="E147" s="44">
        <f>E144/E142</f>
        <v>-0.20000000000000004</v>
      </c>
      <c r="F147" s="70" t="s">
        <v>19</v>
      </c>
      <c r="G147" s="34"/>
      <c r="H147" s="63"/>
      <c r="I147" s="64"/>
      <c r="J147" s="65"/>
      <c r="K147" s="20" t="s">
        <v>106</v>
      </c>
      <c r="L147" s="44">
        <f>L144/L142</f>
        <v>0.20000000000000004</v>
      </c>
      <c r="M147" s="70" t="s">
        <v>19</v>
      </c>
      <c r="N147" s="34"/>
    </row>
    <row r="148" spans="1:14" ht="15.75">
      <c r="A148" s="66"/>
      <c r="B148" s="67"/>
      <c r="C148" s="68"/>
      <c r="D148" s="69" t="s">
        <v>97</v>
      </c>
      <c r="E148" s="44">
        <f>E145/E142</f>
        <v>0.20000000000000004</v>
      </c>
      <c r="F148" s="70" t="s">
        <v>19</v>
      </c>
      <c r="G148" s="34"/>
      <c r="H148" s="66"/>
      <c r="I148" s="67"/>
      <c r="J148" s="68"/>
      <c r="K148" s="69" t="s">
        <v>107</v>
      </c>
      <c r="L148" s="44">
        <f>L145/L142</f>
        <v>0.6</v>
      </c>
      <c r="M148" s="70" t="s">
        <v>19</v>
      </c>
      <c r="N148" s="34"/>
    </row>
    <row r="149" spans="1:13" ht="15.75">
      <c r="A149" s="22" t="s">
        <v>52</v>
      </c>
      <c r="B149" s="23"/>
      <c r="C149" s="21"/>
      <c r="D149" s="71" t="s">
        <v>108</v>
      </c>
      <c r="E149" s="44">
        <f>(0.5*(D140-D136)+E140-E136+F140-F136+G140-G136+H140-H136+I140-I136+J140-J136+K140-K136+L140-L136+M140-M136+0.5*(N140-N136))*(J132-I132)</f>
        <v>1.8</v>
      </c>
      <c r="F149" s="59" t="s">
        <v>33</v>
      </c>
      <c r="H149" s="22" t="s">
        <v>53</v>
      </c>
      <c r="I149" s="23"/>
      <c r="J149" s="21"/>
      <c r="K149" s="71" t="s">
        <v>114</v>
      </c>
      <c r="L149" s="23">
        <f>0.5*(L142+E142)/E149</f>
        <v>0.16666666666666666</v>
      </c>
      <c r="M149" s="59" t="s">
        <v>19</v>
      </c>
    </row>
    <row r="150" spans="1:13" ht="15.75">
      <c r="A150" s="27" t="s">
        <v>111</v>
      </c>
      <c r="B150" s="28"/>
      <c r="C150" s="29"/>
      <c r="D150" s="71" t="s">
        <v>112</v>
      </c>
      <c r="E150" s="44">
        <f>(J132-I132)*(J132-I132)*((-2.5)*(D140-D136)+(-4)*(E140-E136)+(-3)*(F140-F136)+(-2)*(G140-G136)-(H140-H136)+J140-J136+2*(K140-K136)+3*(L140-L136)+4*(M140-M136)+2.5*(N140-N136))</f>
        <v>-1.1102230246251565E-16</v>
      </c>
      <c r="F150" s="60" t="s">
        <v>19</v>
      </c>
      <c r="H150" s="27" t="s">
        <v>115</v>
      </c>
      <c r="I150" s="28"/>
      <c r="J150" s="29"/>
      <c r="K150" s="71" t="s">
        <v>134</v>
      </c>
      <c r="L150" s="23">
        <f>L149*COS((C99*PI()/180))/SIN((C131*PI()/180)-(C99*PI()/180))</f>
        <v>0.45534180126147966</v>
      </c>
      <c r="M150" s="59">
        <f>M118+L150</f>
        <v>2.27897835587421</v>
      </c>
    </row>
    <row r="151" spans="1:13" ht="15.75">
      <c r="A151" s="30"/>
      <c r="B151" s="31"/>
      <c r="C151" s="32"/>
      <c r="D151" s="71" t="s">
        <v>113</v>
      </c>
      <c r="E151" s="44">
        <f>0.5*(J132-I132)*(0.5*(D140-D136)*(D140+B100)+(E140-E136)*(E140+E136)+(F140-F136)*(F140+F136)+(G140-G136)*(G140+G136)+(H140-H136)*(H140+H136)+(I140-I136)*(I140+I136)+(J140-J136)*(J140+J136)+(K140-K136)*(K140+K136)+(L140-L136)*(L140+L136)+(M140-M136)*(M140+M136)+0.5*(N140-N136)*(N140+N136))</f>
        <v>0.07125000000000001</v>
      </c>
      <c r="F151" s="60" t="s">
        <v>19</v>
      </c>
      <c r="H151" s="30"/>
      <c r="I151" s="31"/>
      <c r="J151" s="32"/>
      <c r="K151" s="71" t="s">
        <v>135</v>
      </c>
      <c r="L151" s="23">
        <f>L149*SIN((C99*PI()/180))/SIN((C131*PI()/180)-(C99*PI()/180))</f>
        <v>0.4553418012614796</v>
      </c>
      <c r="M151" s="59">
        <f>M119+L151</f>
        <v>0.9439837433578355</v>
      </c>
    </row>
    <row r="152" spans="1:13" ht="15.75">
      <c r="A152" s="27" t="s">
        <v>127</v>
      </c>
      <c r="B152" s="28"/>
      <c r="C152" s="29"/>
      <c r="D152" s="71" t="s">
        <v>109</v>
      </c>
      <c r="E152" s="44">
        <f>E150/E149</f>
        <v>-6.167905692361981E-17</v>
      </c>
      <c r="F152" s="59" t="s">
        <v>19</v>
      </c>
      <c r="H152" s="27" t="s">
        <v>118</v>
      </c>
      <c r="I152" s="28"/>
      <c r="J152" s="29"/>
      <c r="K152" s="71" t="s">
        <v>116</v>
      </c>
      <c r="L152" s="75">
        <f>E152</f>
        <v>-6.167905692361981E-17</v>
      </c>
      <c r="M152" s="59" t="s">
        <v>19</v>
      </c>
    </row>
    <row r="153" spans="1:13" ht="15.75">
      <c r="A153" s="30"/>
      <c r="B153" s="31"/>
      <c r="C153" s="32"/>
      <c r="D153" s="71" t="s">
        <v>110</v>
      </c>
      <c r="E153" s="44">
        <f>E151/E149</f>
        <v>0.03958333333333334</v>
      </c>
      <c r="F153" s="59" t="s">
        <v>19</v>
      </c>
      <c r="H153" s="34"/>
      <c r="I153" s="9"/>
      <c r="J153" s="35"/>
      <c r="K153" s="71" t="s">
        <v>117</v>
      </c>
      <c r="L153" s="23">
        <f>M118+E153*COS(C131*PI()/180)+0.5*L149*SIN(C131*PI()/180)</f>
        <v>1.9155970049281004</v>
      </c>
      <c r="M153" s="59" t="s">
        <v>19</v>
      </c>
    </row>
    <row r="154" spans="8:13" ht="15.75">
      <c r="H154" s="30"/>
      <c r="I154" s="31"/>
      <c r="J154" s="32"/>
      <c r="K154" s="71" t="s">
        <v>245</v>
      </c>
      <c r="L154" s="23">
        <f>0.462+M119+E153*SIN(C131*PI()/180)-0.5*L149*COS(C131*PI()/180)</f>
        <v>0.9432554476628233</v>
      </c>
      <c r="M154" s="59" t="s">
        <v>19</v>
      </c>
    </row>
    <row r="155" spans="4:10" ht="15.75">
      <c r="D155" s="27" t="s">
        <v>26</v>
      </c>
      <c r="E155" s="28"/>
      <c r="F155" s="29"/>
      <c r="G155" s="20" t="s">
        <v>119</v>
      </c>
      <c r="H155" s="44">
        <f>E6*H126+L142*L146-2*E149*L149*L152+E142*E146</f>
        <v>2.590520390792032E-16</v>
      </c>
      <c r="I155" s="23" t="s">
        <v>56</v>
      </c>
      <c r="J155" s="21"/>
    </row>
    <row r="156" spans="4:13" ht="15.75">
      <c r="D156" s="34"/>
      <c r="E156" s="9"/>
      <c r="F156" s="35"/>
      <c r="G156" s="20" t="s">
        <v>120</v>
      </c>
      <c r="H156" s="44">
        <f>E6*H127+L142*L147-2*E149*L149*L153+E142*E147</f>
        <v>-0.9889028638268819</v>
      </c>
      <c r="I156" s="23" t="s">
        <v>37</v>
      </c>
      <c r="J156" s="21"/>
      <c r="K156" s="117" t="s">
        <v>246</v>
      </c>
      <c r="M156" s="54"/>
    </row>
    <row r="157" spans="4:13" ht="15.75">
      <c r="D157" s="30"/>
      <c r="E157" s="31"/>
      <c r="F157" s="32"/>
      <c r="G157" s="20" t="s">
        <v>121</v>
      </c>
      <c r="H157" s="44">
        <f>E6*H128+L142*L148-2*E149*L149*L154+E142*E148</f>
        <v>10.99458389359095</v>
      </c>
      <c r="I157" s="23" t="s">
        <v>36</v>
      </c>
      <c r="J157" s="21"/>
      <c r="M157" s="54"/>
    </row>
    <row r="158" spans="4:13" ht="12.75">
      <c r="D158" s="27" t="s">
        <v>122</v>
      </c>
      <c r="E158" s="28"/>
      <c r="F158" s="29"/>
      <c r="G158" s="20" t="s">
        <v>124</v>
      </c>
      <c r="H158" s="44">
        <f>H155/E6</f>
        <v>2.590520390792032E-17</v>
      </c>
      <c r="I158" s="33" t="s">
        <v>55</v>
      </c>
      <c r="J158" s="21"/>
      <c r="M158" s="54"/>
    </row>
    <row r="159" spans="4:10" ht="12.75">
      <c r="D159" s="34"/>
      <c r="E159" s="9"/>
      <c r="F159" s="35"/>
      <c r="G159" s="20" t="s">
        <v>125</v>
      </c>
      <c r="H159" s="44">
        <f>H156/E6</f>
        <v>-0.09889028638268818</v>
      </c>
      <c r="I159" s="33" t="s">
        <v>32</v>
      </c>
      <c r="J159" s="21"/>
    </row>
    <row r="160" spans="4:10" ht="12.75">
      <c r="D160" s="30"/>
      <c r="E160" s="31"/>
      <c r="F160" s="32"/>
      <c r="G160" s="72" t="s">
        <v>123</v>
      </c>
      <c r="H160" s="44">
        <f>H157/E6</f>
        <v>1.099458389359095</v>
      </c>
      <c r="I160" s="33" t="s">
        <v>24</v>
      </c>
      <c r="J160" s="21"/>
    </row>
    <row r="161" spans="4:10" ht="12.75">
      <c r="D161" s="22" t="s">
        <v>59</v>
      </c>
      <c r="E161" s="23"/>
      <c r="F161" s="21"/>
      <c r="G161" s="72" t="s">
        <v>126</v>
      </c>
      <c r="H161" s="44">
        <f>(H159+(H160-E10)*TAN(C131*PI()/180))*COS(C131*PI()/180)-M8*SIN(C131*PI()/180)</f>
        <v>0.03668834861311606</v>
      </c>
      <c r="I161" s="33" t="s">
        <v>19</v>
      </c>
      <c r="J161" s="21"/>
    </row>
    <row r="163" spans="1:14" ht="12.75">
      <c r="A163" s="51" t="s">
        <v>51</v>
      </c>
      <c r="B163" s="50"/>
      <c r="C163" s="52">
        <v>75</v>
      </c>
      <c r="D163" s="12">
        <v>0</v>
      </c>
      <c r="E163" s="46">
        <v>1</v>
      </c>
      <c r="F163" s="12">
        <v>2</v>
      </c>
      <c r="G163" s="12">
        <v>3</v>
      </c>
      <c r="H163" s="12">
        <v>4</v>
      </c>
      <c r="I163" s="12">
        <v>5</v>
      </c>
      <c r="J163" s="12">
        <v>6</v>
      </c>
      <c r="K163" s="12">
        <v>7</v>
      </c>
      <c r="L163" s="12">
        <v>8</v>
      </c>
      <c r="M163" s="12">
        <v>9</v>
      </c>
      <c r="N163" s="12">
        <v>10</v>
      </c>
    </row>
    <row r="164" spans="1:14" ht="12.75">
      <c r="A164" s="22" t="s">
        <v>23</v>
      </c>
      <c r="B164" s="23"/>
      <c r="C164" s="59" t="s">
        <v>19</v>
      </c>
      <c r="D164" s="106">
        <v>-1</v>
      </c>
      <c r="E164" s="106">
        <v>-1</v>
      </c>
      <c r="F164" s="106">
        <v>-1</v>
      </c>
      <c r="G164" s="106">
        <v>-1</v>
      </c>
      <c r="H164" s="106">
        <v>-1</v>
      </c>
      <c r="I164" s="5">
        <v>0</v>
      </c>
      <c r="J164" s="4">
        <v>1</v>
      </c>
      <c r="K164" s="4">
        <v>1</v>
      </c>
      <c r="L164" s="4">
        <v>1</v>
      </c>
      <c r="M164" s="4">
        <v>1</v>
      </c>
      <c r="N164" s="4">
        <v>1</v>
      </c>
    </row>
    <row r="165" spans="1:14" ht="14.25">
      <c r="A165" s="22" t="s">
        <v>83</v>
      </c>
      <c r="B165" s="23"/>
      <c r="C165" s="59" t="s">
        <v>33</v>
      </c>
      <c r="D165" s="76">
        <v>0</v>
      </c>
      <c r="E165" s="77">
        <v>-0.025</v>
      </c>
      <c r="F165" s="76">
        <v>-0.05</v>
      </c>
      <c r="G165" s="76">
        <v>-0.075</v>
      </c>
      <c r="H165" s="76">
        <v>-0.1</v>
      </c>
      <c r="I165" s="76">
        <v>-0.1</v>
      </c>
      <c r="J165" s="76">
        <v>-0.1</v>
      </c>
      <c r="K165" s="76">
        <v>-0.075</v>
      </c>
      <c r="L165" s="76">
        <v>-0.05</v>
      </c>
      <c r="M165" s="76">
        <v>-0.025</v>
      </c>
      <c r="N165" s="76">
        <v>0</v>
      </c>
    </row>
    <row r="166" spans="1:14" ht="12.75">
      <c r="A166" s="22" t="s">
        <v>74</v>
      </c>
      <c r="B166" s="23"/>
      <c r="C166" s="59" t="s">
        <v>19</v>
      </c>
      <c r="D166" s="38">
        <v>0.2</v>
      </c>
      <c r="E166" s="38">
        <v>0.2</v>
      </c>
      <c r="F166" s="38">
        <v>0.2</v>
      </c>
      <c r="G166" s="38">
        <v>0.2</v>
      </c>
      <c r="H166" s="38">
        <v>0.2</v>
      </c>
      <c r="I166" s="38">
        <v>0.2</v>
      </c>
      <c r="J166" s="38">
        <v>0.2</v>
      </c>
      <c r="K166" s="38">
        <v>0.2</v>
      </c>
      <c r="L166" s="38">
        <v>0.2</v>
      </c>
      <c r="M166" s="38">
        <v>0.2</v>
      </c>
      <c r="N166" s="38">
        <v>0.2</v>
      </c>
    </row>
    <row r="167" spans="1:14" ht="12.75">
      <c r="A167" s="27" t="s">
        <v>75</v>
      </c>
      <c r="B167" s="9"/>
      <c r="C167" s="62" t="s">
        <v>19</v>
      </c>
      <c r="D167" s="38">
        <v>-0.2</v>
      </c>
      <c r="E167" s="38">
        <v>-0.2</v>
      </c>
      <c r="F167" s="38">
        <v>-0.2</v>
      </c>
      <c r="G167" s="38">
        <v>-0.2</v>
      </c>
      <c r="H167" s="38">
        <v>-0.2</v>
      </c>
      <c r="I167" s="38">
        <v>-0.2</v>
      </c>
      <c r="J167" s="38">
        <v>-0.2</v>
      </c>
      <c r="K167" s="38">
        <v>-0.2</v>
      </c>
      <c r="L167" s="38">
        <v>-0.2</v>
      </c>
      <c r="M167" s="38">
        <v>-0.2</v>
      </c>
      <c r="N167" s="38">
        <v>-0.2</v>
      </c>
    </row>
    <row r="168" spans="1:14" ht="15.75">
      <c r="A168" s="22" t="s">
        <v>85</v>
      </c>
      <c r="B168" s="23"/>
      <c r="C168" s="60" t="s">
        <v>19</v>
      </c>
      <c r="D168" s="76">
        <v>0</v>
      </c>
      <c r="E168" s="77">
        <v>-0.025</v>
      </c>
      <c r="F168" s="76">
        <v>-0.05</v>
      </c>
      <c r="G168" s="76">
        <v>-0.075</v>
      </c>
      <c r="H168" s="76">
        <v>-0.1</v>
      </c>
      <c r="I168" s="76">
        <v>-0.1</v>
      </c>
      <c r="J168" s="76">
        <v>-0.1</v>
      </c>
      <c r="K168" s="76">
        <v>-0.075</v>
      </c>
      <c r="L168" s="76">
        <v>-0.05</v>
      </c>
      <c r="M168" s="76">
        <v>-0.025</v>
      </c>
      <c r="N168" s="76">
        <v>0</v>
      </c>
    </row>
    <row r="169" spans="1:14" ht="14.25">
      <c r="A169" s="22" t="s">
        <v>84</v>
      </c>
      <c r="B169" s="23"/>
      <c r="C169" s="59" t="s">
        <v>33</v>
      </c>
      <c r="D169" s="76">
        <v>0</v>
      </c>
      <c r="E169" s="76">
        <v>0.05</v>
      </c>
      <c r="F169" s="76">
        <v>0.1</v>
      </c>
      <c r="G169" s="76">
        <v>0.15</v>
      </c>
      <c r="H169" s="76">
        <v>0.2</v>
      </c>
      <c r="I169" s="76">
        <v>0.2</v>
      </c>
      <c r="J169" s="76">
        <v>0.2</v>
      </c>
      <c r="K169" s="76">
        <v>0.15</v>
      </c>
      <c r="L169" s="76">
        <v>0.1</v>
      </c>
      <c r="M169" s="76">
        <v>0.05</v>
      </c>
      <c r="N169" s="76">
        <v>0</v>
      </c>
    </row>
    <row r="170" spans="1:14" ht="12.75">
      <c r="A170" s="22" t="s">
        <v>74</v>
      </c>
      <c r="B170" s="23"/>
      <c r="C170" s="59" t="s">
        <v>19</v>
      </c>
      <c r="D170" s="38">
        <v>0.6</v>
      </c>
      <c r="E170" s="38">
        <v>0.6</v>
      </c>
      <c r="F170" s="38">
        <v>0.6</v>
      </c>
      <c r="G170" s="38">
        <v>0.6</v>
      </c>
      <c r="H170" s="38">
        <v>0.6</v>
      </c>
      <c r="I170" s="38">
        <v>0.6</v>
      </c>
      <c r="J170" s="38">
        <v>0.6</v>
      </c>
      <c r="K170" s="38">
        <v>0.6</v>
      </c>
      <c r="L170" s="38">
        <v>0.6</v>
      </c>
      <c r="M170" s="38">
        <v>0.6</v>
      </c>
      <c r="N170" s="38">
        <v>0.6</v>
      </c>
    </row>
    <row r="171" spans="1:14" ht="12.75">
      <c r="A171" s="22" t="s">
        <v>75</v>
      </c>
      <c r="B171" s="23"/>
      <c r="C171" s="60" t="s">
        <v>19</v>
      </c>
      <c r="D171" s="38">
        <v>0.2</v>
      </c>
      <c r="E171" s="38">
        <v>0.2</v>
      </c>
      <c r="F171" s="38">
        <v>0.2</v>
      </c>
      <c r="G171" s="38">
        <v>0.2</v>
      </c>
      <c r="H171" s="38">
        <v>0.2</v>
      </c>
      <c r="I171" s="38">
        <v>0.2</v>
      </c>
      <c r="J171" s="38">
        <v>0.2</v>
      </c>
      <c r="K171" s="38">
        <v>0.2</v>
      </c>
      <c r="L171" s="38">
        <v>0.2</v>
      </c>
      <c r="M171" s="38">
        <v>0.2</v>
      </c>
      <c r="N171" s="38">
        <v>0.2</v>
      </c>
    </row>
    <row r="172" spans="1:14" ht="15.75">
      <c r="A172" s="22" t="s">
        <v>86</v>
      </c>
      <c r="B172" s="23"/>
      <c r="C172" s="60" t="s">
        <v>19</v>
      </c>
      <c r="D172" s="76">
        <v>0</v>
      </c>
      <c r="E172" s="76">
        <v>0.05</v>
      </c>
      <c r="F172" s="76">
        <v>0.1</v>
      </c>
      <c r="G172" s="76">
        <v>0.15</v>
      </c>
      <c r="H172" s="76">
        <v>0.2</v>
      </c>
      <c r="I172" s="76">
        <v>0.2</v>
      </c>
      <c r="J172" s="76">
        <v>0.2</v>
      </c>
      <c r="K172" s="76">
        <v>0.15</v>
      </c>
      <c r="L172" s="76">
        <v>0.1</v>
      </c>
      <c r="M172" s="76">
        <v>0.05</v>
      </c>
      <c r="N172" s="76">
        <v>0</v>
      </c>
    </row>
    <row r="174" spans="1:14" ht="15.75">
      <c r="A174" s="24" t="s">
        <v>87</v>
      </c>
      <c r="B174" s="25"/>
      <c r="C174" s="26"/>
      <c r="D174" s="20" t="s">
        <v>88</v>
      </c>
      <c r="E174" s="44">
        <f>(J164-I164)*(0.5*D165+E165+F165+G165+H165+I165+J165+K165+L165+M165+0.5*N165)</f>
        <v>-0.6</v>
      </c>
      <c r="F174" s="70" t="s">
        <v>34</v>
      </c>
      <c r="G174" s="34"/>
      <c r="H174" s="24" t="s">
        <v>98</v>
      </c>
      <c r="I174" s="25"/>
      <c r="J174" s="26"/>
      <c r="K174" s="20" t="s">
        <v>101</v>
      </c>
      <c r="L174" s="44">
        <f>(J164-I164)*(0.5*D169+E169+F169+G169+H169+I169+J169+K169+L169+M169+0.5*N169)</f>
        <v>1.2</v>
      </c>
      <c r="M174" s="70" t="s">
        <v>34</v>
      </c>
      <c r="N174" s="34"/>
    </row>
    <row r="175" spans="1:14" ht="15.75">
      <c r="A175" s="47" t="s">
        <v>89</v>
      </c>
      <c r="B175" s="48"/>
      <c r="C175" s="49"/>
      <c r="D175" s="20" t="s">
        <v>90</v>
      </c>
      <c r="E175" s="44">
        <f>(J164-I164)*(J164-I164)*((-2.5)*D165+(-4)*E165+(-3)*F165+(-2)*G165-H165+J165+2*K165+3*L165+4*M165+2.5*N165)</f>
        <v>-2.7755575615628914E-17</v>
      </c>
      <c r="F175" s="70" t="s">
        <v>91</v>
      </c>
      <c r="G175" s="34"/>
      <c r="H175" s="47" t="s">
        <v>99</v>
      </c>
      <c r="I175" s="48"/>
      <c r="J175" s="49"/>
      <c r="K175" s="20" t="s">
        <v>102</v>
      </c>
      <c r="L175" s="44">
        <f>(J164-I164)*(J164-I164)*((-2.5)*D169+(-4)*E169+(-3)*F169+(-2)*G169-H169+J169+2*K169+3*L169+4*M169+2.5*N169)</f>
        <v>5.551115123125783E-17</v>
      </c>
      <c r="M175" s="70" t="s">
        <v>91</v>
      </c>
      <c r="N175" s="34"/>
    </row>
    <row r="176" spans="1:14" ht="15.75">
      <c r="A176" s="63"/>
      <c r="B176" s="64"/>
      <c r="C176" s="65"/>
      <c r="D176" s="20" t="s">
        <v>92</v>
      </c>
      <c r="E176" s="44">
        <f>(J164-I164)*(0.5*D165*D167+E165*E167+F165*F167+G165*G167+H165*H167+I165*I167+J165*J167+K165*K167+L165*L167+M165*M167+0.5*N165*N167)</f>
        <v>0.12000000000000002</v>
      </c>
      <c r="F176" s="70" t="s">
        <v>35</v>
      </c>
      <c r="G176" s="34"/>
      <c r="H176" s="63"/>
      <c r="I176" s="64"/>
      <c r="J176" s="65"/>
      <c r="K176" s="20" t="s">
        <v>103</v>
      </c>
      <c r="L176" s="44">
        <f>(J164-I164)*(0.5*D169*D171+E169*E171+F169*F171+G169*G171+H169*H171+I169*I171+J169*J171+K169*K171+L169*L171+M169*M171+0.5*N169*N171)</f>
        <v>0.24000000000000005</v>
      </c>
      <c r="M176" s="70" t="s">
        <v>35</v>
      </c>
      <c r="N176" s="34"/>
    </row>
    <row r="177" spans="1:14" ht="15.75">
      <c r="A177" s="66"/>
      <c r="B177" s="67"/>
      <c r="C177" s="68"/>
      <c r="D177" s="20" t="s">
        <v>93</v>
      </c>
      <c r="E177" s="44">
        <f>(J164-I164)*(0.5*D165*D166+E165*E166+F165*F166+G165*G166+H165*H166+I165*I166+J165*J166+K165*K166+L165*L166+M165*M166+0.5*N165*N166)</f>
        <v>-0.12000000000000002</v>
      </c>
      <c r="F177" s="70" t="s">
        <v>35</v>
      </c>
      <c r="G177" s="34"/>
      <c r="H177" s="66"/>
      <c r="I177" s="67"/>
      <c r="J177" s="68"/>
      <c r="K177" s="20" t="s">
        <v>104</v>
      </c>
      <c r="L177" s="44">
        <f>(J164-I164)*(0.5*D169*D170+E169*E170+F169*F170+G169*G170+H169*H170+I169*I170+J169*J170+K169*K170+L169*L170+M169*M170+0.5*N169*N170)</f>
        <v>0.72</v>
      </c>
      <c r="M177" s="70" t="s">
        <v>35</v>
      </c>
      <c r="N177" s="34"/>
    </row>
    <row r="178" spans="1:14" ht="15.75">
      <c r="A178" s="63" t="s">
        <v>94</v>
      </c>
      <c r="B178" s="64"/>
      <c r="C178" s="49"/>
      <c r="D178" s="20" t="s">
        <v>95</v>
      </c>
      <c r="E178" s="44">
        <f>E175/E174</f>
        <v>4.625929269271486E-17</v>
      </c>
      <c r="F178" s="70" t="s">
        <v>19</v>
      </c>
      <c r="G178" s="34"/>
      <c r="H178" s="63" t="s">
        <v>100</v>
      </c>
      <c r="I178" s="64"/>
      <c r="J178" s="49"/>
      <c r="K178" s="20" t="s">
        <v>105</v>
      </c>
      <c r="L178" s="44">
        <f>L175/L174</f>
        <v>4.625929269271486E-17</v>
      </c>
      <c r="M178" s="70" t="s">
        <v>19</v>
      </c>
      <c r="N178" s="34"/>
    </row>
    <row r="179" spans="1:14" ht="15.75">
      <c r="A179" s="63"/>
      <c r="B179" s="64"/>
      <c r="C179" s="65"/>
      <c r="D179" s="20" t="s">
        <v>96</v>
      </c>
      <c r="E179" s="44">
        <f>E176/E174</f>
        <v>-0.20000000000000004</v>
      </c>
      <c r="F179" s="70" t="s">
        <v>19</v>
      </c>
      <c r="G179" s="34"/>
      <c r="H179" s="63"/>
      <c r="I179" s="64"/>
      <c r="J179" s="65"/>
      <c r="K179" s="20" t="s">
        <v>106</v>
      </c>
      <c r="L179" s="44">
        <f>L176/L174</f>
        <v>0.20000000000000004</v>
      </c>
      <c r="M179" s="70" t="s">
        <v>19</v>
      </c>
      <c r="N179" s="34"/>
    </row>
    <row r="180" spans="1:14" ht="15.75">
      <c r="A180" s="66"/>
      <c r="B180" s="67"/>
      <c r="C180" s="68"/>
      <c r="D180" s="69" t="s">
        <v>97</v>
      </c>
      <c r="E180" s="44">
        <f>E177/E174</f>
        <v>0.20000000000000004</v>
      </c>
      <c r="F180" s="70" t="s">
        <v>19</v>
      </c>
      <c r="G180" s="34"/>
      <c r="H180" s="66"/>
      <c r="I180" s="67"/>
      <c r="J180" s="68"/>
      <c r="K180" s="69" t="s">
        <v>107</v>
      </c>
      <c r="L180" s="44">
        <f>L177/L174</f>
        <v>0.6</v>
      </c>
      <c r="M180" s="70" t="s">
        <v>19</v>
      </c>
      <c r="N180" s="34"/>
    </row>
    <row r="181" spans="1:13" ht="15.75">
      <c r="A181" s="22" t="s">
        <v>52</v>
      </c>
      <c r="B181" s="23"/>
      <c r="C181" s="21"/>
      <c r="D181" s="71" t="s">
        <v>108</v>
      </c>
      <c r="E181" s="44">
        <f>(0.5*(D172-D168)+E172-E168+F172-F168+G172-G168+H172-H168+I172-I168+J172-J168+K172-K168+L172-L168+M172-M168+0.5*(N172-N168))*(J164-I164)</f>
        <v>1.8</v>
      </c>
      <c r="F181" s="59" t="s">
        <v>33</v>
      </c>
      <c r="H181" s="22" t="s">
        <v>53</v>
      </c>
      <c r="I181" s="23"/>
      <c r="J181" s="21"/>
      <c r="K181" s="71" t="s">
        <v>114</v>
      </c>
      <c r="L181" s="23">
        <f>0.5*(L174+E174)/E181</f>
        <v>0.16666666666666666</v>
      </c>
      <c r="M181" s="59" t="s">
        <v>19</v>
      </c>
    </row>
    <row r="182" spans="1:13" ht="15.75">
      <c r="A182" s="27" t="s">
        <v>111</v>
      </c>
      <c r="B182" s="28"/>
      <c r="C182" s="29"/>
      <c r="D182" s="71" t="s">
        <v>112</v>
      </c>
      <c r="E182" s="44">
        <f>(J164-I164)*(J164-I164)*((-2.5)*(D172-D168)+(-4)*(E172-E168)+(-3)*(F172-F168)+(-2)*(G172-G168)-(H172-H168)+J172-J168+2*(K172-K168)+3*(L172-L168)+4*(M172-M168)+2.5*(N172-N168))</f>
        <v>-1.1102230246251565E-16</v>
      </c>
      <c r="F182" s="60" t="s">
        <v>19</v>
      </c>
      <c r="H182" s="27" t="s">
        <v>115</v>
      </c>
      <c r="I182" s="28"/>
      <c r="J182" s="29"/>
      <c r="K182" s="71" t="s">
        <v>136</v>
      </c>
      <c r="L182" s="23">
        <f>L181*COS((C131*PI()/180))/SIN((C163*PI()/180)-(C131*PI()/180))</f>
        <v>0.3219752754296893</v>
      </c>
      <c r="M182" s="59">
        <f>M150+L182</f>
        <v>2.6009536313038994</v>
      </c>
    </row>
    <row r="183" spans="1:13" ht="15.75">
      <c r="A183" s="30"/>
      <c r="B183" s="31"/>
      <c r="C183" s="32"/>
      <c r="D183" s="71" t="s">
        <v>113</v>
      </c>
      <c r="E183" s="44">
        <f>0.5*(J164-I164)*(0.5*(D172-D168)*(D172+B132)+(E172-E168)*(E172+E168)+(F172-F168)*(F172+F168)+(G172-G168)*(G172+G168)+(H172-H168)*(H172+H168)+(I172-I168)*(I172+I168)+(J172-J168)*(J172+J168)+(K172-K168)*(K172+K168)+(L172-L168)*(L172+L168)+(M172-M168)*(M172+M168)+0.5*(N172-N168)*(N172+N168))</f>
        <v>0.07125000000000001</v>
      </c>
      <c r="F183" s="60" t="s">
        <v>19</v>
      </c>
      <c r="H183" s="30"/>
      <c r="I183" s="31"/>
      <c r="J183" s="32"/>
      <c r="K183" s="71" t="s">
        <v>137</v>
      </c>
      <c r="L183" s="23">
        <f>L181*SIN((C131*PI()/180))/SIN((C163*PI()/180)-(C131*PI()/180))</f>
        <v>0.557677535825205</v>
      </c>
      <c r="M183" s="59">
        <f>M151+L183</f>
        <v>1.5016612791830406</v>
      </c>
    </row>
    <row r="184" spans="1:13" ht="15.75">
      <c r="A184" s="27" t="s">
        <v>127</v>
      </c>
      <c r="B184" s="28"/>
      <c r="C184" s="29"/>
      <c r="D184" s="71" t="s">
        <v>109</v>
      </c>
      <c r="E184" s="44">
        <f>E182/E181</f>
        <v>-6.167905692361981E-17</v>
      </c>
      <c r="F184" s="59" t="s">
        <v>19</v>
      </c>
      <c r="H184" s="27" t="s">
        <v>118</v>
      </c>
      <c r="I184" s="28"/>
      <c r="J184" s="29"/>
      <c r="K184" s="71" t="s">
        <v>116</v>
      </c>
      <c r="L184" s="75">
        <f>E184</f>
        <v>-6.167905692361981E-17</v>
      </c>
      <c r="M184" s="59" t="s">
        <v>19</v>
      </c>
    </row>
    <row r="185" spans="1:13" ht="15.75">
      <c r="A185" s="30"/>
      <c r="B185" s="31"/>
      <c r="C185" s="32"/>
      <c r="D185" s="71" t="s">
        <v>110</v>
      </c>
      <c r="E185" s="44">
        <f>E183/E181</f>
        <v>0.03958333333333334</v>
      </c>
      <c r="F185" s="59" t="s">
        <v>19</v>
      </c>
      <c r="H185" s="34"/>
      <c r="I185" s="9"/>
      <c r="J185" s="35"/>
      <c r="K185" s="71" t="s">
        <v>117</v>
      </c>
      <c r="L185" s="23">
        <f>M150+E185*COS(C163*PI()/180)+0.5*L181*SIN(C163*PI()/180)</f>
        <v>2.3697170952669406</v>
      </c>
      <c r="M185" s="59" t="s">
        <v>19</v>
      </c>
    </row>
    <row r="186" spans="8:13" ht="15.75">
      <c r="H186" s="30"/>
      <c r="I186" s="31"/>
      <c r="J186" s="32"/>
      <c r="K186" s="71" t="s">
        <v>245</v>
      </c>
      <c r="L186" s="23">
        <f>0.462+M151+E185*SIN(C163*PI()/180)-0.5*L181*COS(C163*PI()/180)</f>
        <v>1.4226500535565678</v>
      </c>
      <c r="M186" s="59" t="s">
        <v>19</v>
      </c>
    </row>
    <row r="187" spans="4:10" ht="15.75">
      <c r="D187" s="27" t="s">
        <v>26</v>
      </c>
      <c r="E187" s="28"/>
      <c r="F187" s="29"/>
      <c r="G187" s="20" t="s">
        <v>119</v>
      </c>
      <c r="H187" s="44">
        <f>E6*H158+L174*L178-2*E181*L181*L184+E174*E178</f>
        <v>3.23815048849004E-16</v>
      </c>
      <c r="I187" s="23" t="s">
        <v>56</v>
      </c>
      <c r="J187" s="21"/>
    </row>
    <row r="188" spans="4:13" ht="15.75">
      <c r="D188" s="34"/>
      <c r="E188" s="9"/>
      <c r="F188" s="35"/>
      <c r="G188" s="20" t="s">
        <v>120</v>
      </c>
      <c r="H188" s="44">
        <f>E6*H159+L174*L179-2*E181*L181*L185+E174*E179</f>
        <v>-2.0507331209870463</v>
      </c>
      <c r="I188" s="23" t="s">
        <v>37</v>
      </c>
      <c r="J188" s="21"/>
      <c r="K188" s="117" t="s">
        <v>246</v>
      </c>
      <c r="M188" s="54"/>
    </row>
    <row r="189" spans="4:13" ht="15.75">
      <c r="D189" s="30"/>
      <c r="E189" s="31"/>
      <c r="F189" s="32"/>
      <c r="G189" s="20" t="s">
        <v>121</v>
      </c>
      <c r="H189" s="44">
        <f>E6*H160+L174*L180-2*E181*L181*L186+E174*E180</f>
        <v>10.74099386145701</v>
      </c>
      <c r="I189" s="23" t="s">
        <v>36</v>
      </c>
      <c r="J189" s="21"/>
      <c r="M189" s="54"/>
    </row>
    <row r="190" spans="4:13" ht="12.75">
      <c r="D190" s="27" t="s">
        <v>122</v>
      </c>
      <c r="E190" s="28"/>
      <c r="F190" s="29"/>
      <c r="G190" s="20" t="s">
        <v>124</v>
      </c>
      <c r="H190" s="44">
        <f>H187/E6</f>
        <v>3.23815048849004E-17</v>
      </c>
      <c r="I190" s="33" t="s">
        <v>55</v>
      </c>
      <c r="J190" s="21"/>
      <c r="M190" s="54"/>
    </row>
    <row r="191" spans="4:10" ht="12.75">
      <c r="D191" s="34"/>
      <c r="E191" s="9"/>
      <c r="F191" s="35"/>
      <c r="G191" s="20" t="s">
        <v>125</v>
      </c>
      <c r="H191" s="44">
        <f>H188/E6</f>
        <v>-0.20507331209870464</v>
      </c>
      <c r="I191" s="33" t="s">
        <v>32</v>
      </c>
      <c r="J191" s="21"/>
    </row>
    <row r="192" spans="4:10" ht="12.75">
      <c r="D192" s="30"/>
      <c r="E192" s="31"/>
      <c r="F192" s="32"/>
      <c r="G192" s="72" t="s">
        <v>123</v>
      </c>
      <c r="H192" s="44">
        <f>H189/E6</f>
        <v>1.074099386145701</v>
      </c>
      <c r="I192" s="33" t="s">
        <v>24</v>
      </c>
      <c r="J192" s="21"/>
    </row>
    <row r="193" spans="4:10" ht="12.75">
      <c r="D193" s="22" t="s">
        <v>59</v>
      </c>
      <c r="E193" s="23"/>
      <c r="F193" s="21"/>
      <c r="G193" s="72" t="s">
        <v>126</v>
      </c>
      <c r="H193" s="44">
        <f>(H191+(H192-E10)*TAN(C163*PI()/180))*COS(C163*PI()/180)-M8*SIN(C163*PI()/180)</f>
        <v>0.018497631976901133</v>
      </c>
      <c r="I193" s="33" t="s">
        <v>19</v>
      </c>
      <c r="J193" s="21"/>
    </row>
    <row r="195" spans="1:14" ht="12.75">
      <c r="A195" s="51" t="s">
        <v>51</v>
      </c>
      <c r="B195" s="50"/>
      <c r="C195" s="52">
        <v>90</v>
      </c>
      <c r="D195" s="12">
        <v>0</v>
      </c>
      <c r="E195" s="46">
        <v>1</v>
      </c>
      <c r="F195" s="12">
        <v>2</v>
      </c>
      <c r="G195" s="12">
        <v>3</v>
      </c>
      <c r="H195" s="12">
        <v>4</v>
      </c>
      <c r="I195" s="12">
        <v>5</v>
      </c>
      <c r="J195" s="12">
        <v>6</v>
      </c>
      <c r="K195" s="12">
        <v>7</v>
      </c>
      <c r="L195" s="12">
        <v>8</v>
      </c>
      <c r="M195" s="12">
        <v>9</v>
      </c>
      <c r="N195" s="12">
        <v>10</v>
      </c>
    </row>
    <row r="196" spans="1:14" ht="12.75">
      <c r="A196" s="22" t="s">
        <v>23</v>
      </c>
      <c r="B196" s="23"/>
      <c r="C196" s="59" t="s">
        <v>19</v>
      </c>
      <c r="D196" s="106">
        <v>-1</v>
      </c>
      <c r="E196" s="106">
        <v>-1</v>
      </c>
      <c r="F196" s="106">
        <v>-1</v>
      </c>
      <c r="G196" s="106">
        <v>-1</v>
      </c>
      <c r="H196" s="106">
        <v>-1</v>
      </c>
      <c r="I196" s="5">
        <v>0</v>
      </c>
      <c r="J196" s="4">
        <v>1</v>
      </c>
      <c r="K196" s="4">
        <v>1</v>
      </c>
      <c r="L196" s="4">
        <v>1</v>
      </c>
      <c r="M196" s="4">
        <v>1</v>
      </c>
      <c r="N196" s="4">
        <v>1</v>
      </c>
    </row>
    <row r="197" spans="1:14" ht="14.25">
      <c r="A197" s="22" t="s">
        <v>83</v>
      </c>
      <c r="B197" s="23"/>
      <c r="C197" s="59" t="s">
        <v>33</v>
      </c>
      <c r="D197" s="76">
        <v>0</v>
      </c>
      <c r="E197" s="77">
        <v>-0.025</v>
      </c>
      <c r="F197" s="76">
        <v>-0.05</v>
      </c>
      <c r="G197" s="76">
        <v>-0.075</v>
      </c>
      <c r="H197" s="76">
        <v>-0.1</v>
      </c>
      <c r="I197" s="76">
        <v>-0.1</v>
      </c>
      <c r="J197" s="76">
        <v>-0.1</v>
      </c>
      <c r="K197" s="76">
        <v>-0.075</v>
      </c>
      <c r="L197" s="76">
        <v>-0.05</v>
      </c>
      <c r="M197" s="76">
        <v>-0.025</v>
      </c>
      <c r="N197" s="76">
        <v>0</v>
      </c>
    </row>
    <row r="198" spans="1:14" ht="12.75">
      <c r="A198" s="22" t="s">
        <v>74</v>
      </c>
      <c r="B198" s="23"/>
      <c r="C198" s="59" t="s">
        <v>19</v>
      </c>
      <c r="D198" s="38">
        <v>0.2</v>
      </c>
      <c r="E198" s="38">
        <v>0.2</v>
      </c>
      <c r="F198" s="38">
        <v>0.2</v>
      </c>
      <c r="G198" s="38">
        <v>0.2</v>
      </c>
      <c r="H198" s="38">
        <v>0.2</v>
      </c>
      <c r="I198" s="38">
        <v>0.2</v>
      </c>
      <c r="J198" s="38">
        <v>0.2</v>
      </c>
      <c r="K198" s="38">
        <v>0.2</v>
      </c>
      <c r="L198" s="38">
        <v>0.2</v>
      </c>
      <c r="M198" s="38">
        <v>0.2</v>
      </c>
      <c r="N198" s="38">
        <v>0.2</v>
      </c>
    </row>
    <row r="199" spans="1:14" ht="12.75">
      <c r="A199" s="27" t="s">
        <v>75</v>
      </c>
      <c r="B199" s="9"/>
      <c r="C199" s="62" t="s">
        <v>19</v>
      </c>
      <c r="D199" s="38">
        <v>-0.2</v>
      </c>
      <c r="E199" s="38">
        <v>-0.2</v>
      </c>
      <c r="F199" s="38">
        <v>-0.2</v>
      </c>
      <c r="G199" s="38">
        <v>-0.2</v>
      </c>
      <c r="H199" s="38">
        <v>-0.2</v>
      </c>
      <c r="I199" s="38">
        <v>-0.2</v>
      </c>
      <c r="J199" s="38">
        <v>-0.2</v>
      </c>
      <c r="K199" s="38">
        <v>-0.2</v>
      </c>
      <c r="L199" s="38">
        <v>-0.2</v>
      </c>
      <c r="M199" s="38">
        <v>-0.2</v>
      </c>
      <c r="N199" s="38">
        <v>-0.2</v>
      </c>
    </row>
    <row r="200" spans="1:14" ht="15.75">
      <c r="A200" s="22" t="s">
        <v>85</v>
      </c>
      <c r="B200" s="23"/>
      <c r="C200" s="60" t="s">
        <v>19</v>
      </c>
      <c r="D200" s="76">
        <v>0</v>
      </c>
      <c r="E200" s="77">
        <v>-0.025</v>
      </c>
      <c r="F200" s="76">
        <v>-0.05</v>
      </c>
      <c r="G200" s="76">
        <v>-0.075</v>
      </c>
      <c r="H200" s="76">
        <v>-0.1</v>
      </c>
      <c r="I200" s="76">
        <v>-0.1</v>
      </c>
      <c r="J200" s="76">
        <v>-0.1</v>
      </c>
      <c r="K200" s="76">
        <v>-0.075</v>
      </c>
      <c r="L200" s="76">
        <v>-0.05</v>
      </c>
      <c r="M200" s="76">
        <v>-0.025</v>
      </c>
      <c r="N200" s="76">
        <v>0</v>
      </c>
    </row>
    <row r="201" spans="1:14" ht="14.25">
      <c r="A201" s="22" t="s">
        <v>84</v>
      </c>
      <c r="B201" s="23"/>
      <c r="C201" s="59" t="s">
        <v>33</v>
      </c>
      <c r="D201" s="76">
        <v>0</v>
      </c>
      <c r="E201" s="76">
        <v>0.05</v>
      </c>
      <c r="F201" s="76">
        <v>0.1</v>
      </c>
      <c r="G201" s="76">
        <v>0.15</v>
      </c>
      <c r="H201" s="76">
        <v>0.2</v>
      </c>
      <c r="I201" s="76">
        <v>0.2</v>
      </c>
      <c r="J201" s="76">
        <v>0.2</v>
      </c>
      <c r="K201" s="76">
        <v>0.15</v>
      </c>
      <c r="L201" s="76">
        <v>0.1</v>
      </c>
      <c r="M201" s="76">
        <v>0.05</v>
      </c>
      <c r="N201" s="76">
        <v>0</v>
      </c>
    </row>
    <row r="202" spans="1:14" ht="12.75">
      <c r="A202" s="22" t="s">
        <v>74</v>
      </c>
      <c r="B202" s="23"/>
      <c r="C202" s="59" t="s">
        <v>19</v>
      </c>
      <c r="D202" s="38">
        <v>0.6</v>
      </c>
      <c r="E202" s="38">
        <v>0.6</v>
      </c>
      <c r="F202" s="38">
        <v>0.6</v>
      </c>
      <c r="G202" s="38">
        <v>0.6</v>
      </c>
      <c r="H202" s="38">
        <v>0.6</v>
      </c>
      <c r="I202" s="38">
        <v>0.6</v>
      </c>
      <c r="J202" s="38">
        <v>0.6</v>
      </c>
      <c r="K202" s="38">
        <v>0.6</v>
      </c>
      <c r="L202" s="38">
        <v>0.6</v>
      </c>
      <c r="M202" s="38">
        <v>0.6</v>
      </c>
      <c r="N202" s="38">
        <v>0.6</v>
      </c>
    </row>
    <row r="203" spans="1:14" ht="12.75">
      <c r="A203" s="22" t="s">
        <v>75</v>
      </c>
      <c r="B203" s="23"/>
      <c r="C203" s="60" t="s">
        <v>19</v>
      </c>
      <c r="D203" s="38">
        <v>0.2</v>
      </c>
      <c r="E203" s="38">
        <v>0.2</v>
      </c>
      <c r="F203" s="38">
        <v>0.2</v>
      </c>
      <c r="G203" s="38">
        <v>0.2</v>
      </c>
      <c r="H203" s="38">
        <v>0.2</v>
      </c>
      <c r="I203" s="38">
        <v>0.2</v>
      </c>
      <c r="J203" s="38">
        <v>0.2</v>
      </c>
      <c r="K203" s="38">
        <v>0.2</v>
      </c>
      <c r="L203" s="38">
        <v>0.2</v>
      </c>
      <c r="M203" s="38">
        <v>0.2</v>
      </c>
      <c r="N203" s="38">
        <v>0.2</v>
      </c>
    </row>
    <row r="204" spans="1:14" ht="15.75">
      <c r="A204" s="22" t="s">
        <v>86</v>
      </c>
      <c r="B204" s="23"/>
      <c r="C204" s="60" t="s">
        <v>19</v>
      </c>
      <c r="D204" s="76">
        <v>0</v>
      </c>
      <c r="E204" s="76">
        <v>0.05</v>
      </c>
      <c r="F204" s="76">
        <v>0.1</v>
      </c>
      <c r="G204" s="76">
        <v>0.15</v>
      </c>
      <c r="H204" s="76">
        <v>0.2</v>
      </c>
      <c r="I204" s="76">
        <v>0.2</v>
      </c>
      <c r="J204" s="76">
        <v>0.2</v>
      </c>
      <c r="K204" s="76">
        <v>0.15</v>
      </c>
      <c r="L204" s="76">
        <v>0.1</v>
      </c>
      <c r="M204" s="76">
        <v>0.05</v>
      </c>
      <c r="N204" s="76">
        <v>0</v>
      </c>
    </row>
    <row r="206" spans="1:14" ht="15.75">
      <c r="A206" s="24" t="s">
        <v>87</v>
      </c>
      <c r="B206" s="25"/>
      <c r="C206" s="26"/>
      <c r="D206" s="20" t="s">
        <v>88</v>
      </c>
      <c r="E206" s="44">
        <f>(J196-I196)*(0.5*D197+E197+F197+G197+H197+I197+J197+K197+L197+M197+0.5*N197)</f>
        <v>-0.6</v>
      </c>
      <c r="F206" s="70" t="s">
        <v>34</v>
      </c>
      <c r="G206" s="34"/>
      <c r="H206" s="24" t="s">
        <v>98</v>
      </c>
      <c r="I206" s="25"/>
      <c r="J206" s="26"/>
      <c r="K206" s="20" t="s">
        <v>101</v>
      </c>
      <c r="L206" s="44">
        <f>(J196-I196)*(0.5*D201+E201+F201+G201+H201+I201+J201+K201+L201+M201+0.5*N201)</f>
        <v>1.2</v>
      </c>
      <c r="M206" s="70" t="s">
        <v>34</v>
      </c>
      <c r="N206" s="34"/>
    </row>
    <row r="207" spans="1:14" ht="15.75">
      <c r="A207" s="47" t="s">
        <v>89</v>
      </c>
      <c r="B207" s="48"/>
      <c r="C207" s="49"/>
      <c r="D207" s="20" t="s">
        <v>90</v>
      </c>
      <c r="E207" s="44">
        <f>(J196-I196)*(J196-I196)*((-2.5)*D197+(-4)*E197+(-3)*F197+(-2)*G197-H197+J197+2*K197+3*L197+4*M197+2.5*N197)</f>
        <v>-2.7755575615628914E-17</v>
      </c>
      <c r="F207" s="70" t="s">
        <v>91</v>
      </c>
      <c r="G207" s="34"/>
      <c r="H207" s="47" t="s">
        <v>99</v>
      </c>
      <c r="I207" s="48"/>
      <c r="J207" s="49"/>
      <c r="K207" s="20" t="s">
        <v>102</v>
      </c>
      <c r="L207" s="44">
        <f>(J196-I196)*(J196-I196)*((-2.5)*D201+(-4)*E201+(-3)*F201+(-2)*G201-H201+J201+2*K201+3*L201+4*M201+2.5*N201)</f>
        <v>5.551115123125783E-17</v>
      </c>
      <c r="M207" s="70" t="s">
        <v>91</v>
      </c>
      <c r="N207" s="34"/>
    </row>
    <row r="208" spans="1:14" ht="15.75">
      <c r="A208" s="63"/>
      <c r="B208" s="64"/>
      <c r="C208" s="65"/>
      <c r="D208" s="20" t="s">
        <v>92</v>
      </c>
      <c r="E208" s="44">
        <f>(J196-I196)*(0.5*D197*D199+E197*E199+F197*F199+G197*G199+H197*H199+I197*I199+J197*J199+K197*K199+L197*L199+M197*M199+0.5*N197*N199)</f>
        <v>0.12000000000000002</v>
      </c>
      <c r="F208" s="70" t="s">
        <v>35</v>
      </c>
      <c r="G208" s="34"/>
      <c r="H208" s="63"/>
      <c r="I208" s="64"/>
      <c r="J208" s="65"/>
      <c r="K208" s="20" t="s">
        <v>103</v>
      </c>
      <c r="L208" s="44">
        <f>(J196-I196)*(0.5*D201*D203+E201*E203+F201*F203+G201*G203+H201*H203+I201*I203+J201*J203+K201*K203+L201*L203+M201*M203+0.5*N201*N203)</f>
        <v>0.24000000000000005</v>
      </c>
      <c r="M208" s="70" t="s">
        <v>35</v>
      </c>
      <c r="N208" s="34"/>
    </row>
    <row r="209" spans="1:14" ht="15.75">
      <c r="A209" s="66"/>
      <c r="B209" s="67"/>
      <c r="C209" s="68"/>
      <c r="D209" s="20" t="s">
        <v>93</v>
      </c>
      <c r="E209" s="44">
        <f>(J196-I196)*(0.5*D197*D198+E197*E198+F197*F198+G197*G198+H197*H198+I197*I198+J197*J198+K197*K198+L197*L198+M197*M198+0.5*N197*N198)</f>
        <v>-0.12000000000000002</v>
      </c>
      <c r="F209" s="70" t="s">
        <v>35</v>
      </c>
      <c r="G209" s="34"/>
      <c r="H209" s="66"/>
      <c r="I209" s="67"/>
      <c r="J209" s="68"/>
      <c r="K209" s="20" t="s">
        <v>104</v>
      </c>
      <c r="L209" s="44">
        <f>(J196-I196)*(0.5*D201*D202+E201*E202+F201*F202+G201*G202+H201*H202+I201*I202+J201*J202+K201*K202+L201*L202+M201*M202+0.5*N201*N202)</f>
        <v>0.72</v>
      </c>
      <c r="M209" s="70" t="s">
        <v>35</v>
      </c>
      <c r="N209" s="34"/>
    </row>
    <row r="210" spans="1:14" ht="15.75">
      <c r="A210" s="63" t="s">
        <v>94</v>
      </c>
      <c r="B210" s="64"/>
      <c r="C210" s="49"/>
      <c r="D210" s="20" t="s">
        <v>95</v>
      </c>
      <c r="E210" s="44">
        <f>E207/E206</f>
        <v>4.625929269271486E-17</v>
      </c>
      <c r="F210" s="70" t="s">
        <v>19</v>
      </c>
      <c r="G210" s="34"/>
      <c r="H210" s="63" t="s">
        <v>100</v>
      </c>
      <c r="I210" s="64"/>
      <c r="J210" s="49"/>
      <c r="K210" s="20" t="s">
        <v>105</v>
      </c>
      <c r="L210" s="44">
        <f>L207/L206</f>
        <v>4.625929269271486E-17</v>
      </c>
      <c r="M210" s="70" t="s">
        <v>19</v>
      </c>
      <c r="N210" s="34"/>
    </row>
    <row r="211" spans="1:14" ht="15.75">
      <c r="A211" s="63"/>
      <c r="B211" s="64"/>
      <c r="C211" s="65"/>
      <c r="D211" s="20" t="s">
        <v>96</v>
      </c>
      <c r="E211" s="44">
        <f>E208/E206</f>
        <v>-0.20000000000000004</v>
      </c>
      <c r="F211" s="70" t="s">
        <v>19</v>
      </c>
      <c r="G211" s="34"/>
      <c r="H211" s="63"/>
      <c r="I211" s="64"/>
      <c r="J211" s="65"/>
      <c r="K211" s="20" t="s">
        <v>106</v>
      </c>
      <c r="L211" s="44">
        <f>L208/L206</f>
        <v>0.20000000000000004</v>
      </c>
      <c r="M211" s="70" t="s">
        <v>19</v>
      </c>
      <c r="N211" s="34"/>
    </row>
    <row r="212" spans="1:14" ht="15.75">
      <c r="A212" s="66"/>
      <c r="B212" s="67"/>
      <c r="C212" s="68"/>
      <c r="D212" s="69" t="s">
        <v>97</v>
      </c>
      <c r="E212" s="44">
        <f>E209/E206</f>
        <v>0.20000000000000004</v>
      </c>
      <c r="F212" s="70" t="s">
        <v>19</v>
      </c>
      <c r="G212" s="34"/>
      <c r="H212" s="66"/>
      <c r="I212" s="67"/>
      <c r="J212" s="68"/>
      <c r="K212" s="69" t="s">
        <v>107</v>
      </c>
      <c r="L212" s="44">
        <f>L209/L206</f>
        <v>0.6</v>
      </c>
      <c r="M212" s="70" t="s">
        <v>19</v>
      </c>
      <c r="N212" s="34"/>
    </row>
    <row r="213" spans="1:13" ht="15.75">
      <c r="A213" s="22" t="s">
        <v>52</v>
      </c>
      <c r="B213" s="23"/>
      <c r="C213" s="21"/>
      <c r="D213" s="71" t="s">
        <v>108</v>
      </c>
      <c r="E213" s="44">
        <f>(0.5*(D204-D200)+E204-E200+F204-F200+G204-G200+H204-H200+I204-I200+J204-J200+K204-K200+L204-L200+M204-M200+0.5*(N204-N200))*(J196-I196)</f>
        <v>1.8</v>
      </c>
      <c r="F213" s="59" t="s">
        <v>33</v>
      </c>
      <c r="H213" s="22" t="s">
        <v>53</v>
      </c>
      <c r="I213" s="23"/>
      <c r="J213" s="21"/>
      <c r="K213" s="71" t="s">
        <v>114</v>
      </c>
      <c r="L213" s="23">
        <f>0.5*(L206+E206)/E213</f>
        <v>0.16666666666666666</v>
      </c>
      <c r="M213" s="59" t="s">
        <v>19</v>
      </c>
    </row>
    <row r="214" spans="1:13" ht="15.75">
      <c r="A214" s="27" t="s">
        <v>111</v>
      </c>
      <c r="B214" s="28"/>
      <c r="C214" s="29"/>
      <c r="D214" s="71" t="s">
        <v>112</v>
      </c>
      <c r="E214" s="44">
        <f>(J196-I196)*(J196-I196)*((-2.5)*(D204-D200)+(-4)*(E204-E200)+(-3)*(F204-F200)+(-2)*(G204-G200)-(H204-H200)+J204-J200+2*(K204-K200)+3*(L204-L200)+4*(M204-M200)+2.5*(N204-N200))</f>
        <v>-1.1102230246251565E-16</v>
      </c>
      <c r="F214" s="60" t="s">
        <v>19</v>
      </c>
      <c r="H214" s="27" t="s">
        <v>115</v>
      </c>
      <c r="I214" s="28"/>
      <c r="J214" s="29"/>
      <c r="K214" s="71" t="s">
        <v>138</v>
      </c>
      <c r="L214" s="23">
        <f>L213*COS((C163*PI()/180))/SIN((C195*PI()/180)-(C163*PI()/180))</f>
        <v>0.16666666666666669</v>
      </c>
      <c r="M214" s="59">
        <f>M182+L214</f>
        <v>2.767620297970566</v>
      </c>
    </row>
    <row r="215" spans="1:13" ht="15.75">
      <c r="A215" s="30"/>
      <c r="B215" s="31"/>
      <c r="C215" s="32"/>
      <c r="D215" s="71" t="s">
        <v>113</v>
      </c>
      <c r="E215" s="44">
        <f>0.5*(J196-I196)*(0.5*(D204-D200)*(D204+B164)+(E204-E200)*(E204+E200)+(F204-F200)*(F204+F200)+(G204-G200)*(G204+G200)+(H204-H200)*(H204+H200)+(I204-I200)*(I204+I200)+(J204-J200)*(J204+J200)+(K204-K200)*(K204+K200)+(L204-L200)*(L204+L200)+(M204-M200)*(M204+M200)+0.5*(N204-N200)*(N204+N200))</f>
        <v>0.07125000000000001</v>
      </c>
      <c r="F215" s="60" t="s">
        <v>19</v>
      </c>
      <c r="H215" s="30"/>
      <c r="I215" s="31"/>
      <c r="J215" s="32"/>
      <c r="K215" s="71" t="s">
        <v>139</v>
      </c>
      <c r="L215" s="23">
        <f>L213*SIN((C163*PI()/180))/SIN((C195*PI()/180)-(C163*PI()/180))</f>
        <v>0.6220084679281463</v>
      </c>
      <c r="M215" s="59">
        <f>M183+L215</f>
        <v>2.1236697471111867</v>
      </c>
    </row>
    <row r="216" spans="1:13" ht="15.75">
      <c r="A216" s="27" t="s">
        <v>127</v>
      </c>
      <c r="B216" s="28"/>
      <c r="C216" s="29"/>
      <c r="D216" s="71" t="s">
        <v>109</v>
      </c>
      <c r="E216" s="44">
        <f>E214/E213</f>
        <v>-6.167905692361981E-17</v>
      </c>
      <c r="F216" s="59" t="s">
        <v>19</v>
      </c>
      <c r="H216" s="27" t="s">
        <v>118</v>
      </c>
      <c r="I216" s="28"/>
      <c r="J216" s="29"/>
      <c r="K216" s="71" t="s">
        <v>116</v>
      </c>
      <c r="L216" s="75">
        <f>E216</f>
        <v>-6.167905692361981E-17</v>
      </c>
      <c r="M216" s="59" t="s">
        <v>19</v>
      </c>
    </row>
    <row r="217" spans="1:13" ht="15.75">
      <c r="A217" s="30"/>
      <c r="B217" s="31"/>
      <c r="C217" s="32"/>
      <c r="D217" s="71" t="s">
        <v>110</v>
      </c>
      <c r="E217" s="44">
        <f>E215/E213</f>
        <v>0.03958333333333334</v>
      </c>
      <c r="F217" s="59" t="s">
        <v>19</v>
      </c>
      <c r="H217" s="34"/>
      <c r="I217" s="9"/>
      <c r="J217" s="35"/>
      <c r="K217" s="71" t="s">
        <v>117</v>
      </c>
      <c r="L217" s="23">
        <f>M182+E217*COS(C195*PI()/180)+0.5*L213*SIN(C195*PI()/180)</f>
        <v>2.684286964637233</v>
      </c>
      <c r="M217" s="59" t="s">
        <v>19</v>
      </c>
    </row>
    <row r="218" spans="8:13" ht="15.75">
      <c r="H218" s="30"/>
      <c r="I218" s="31"/>
      <c r="J218" s="32"/>
      <c r="K218" s="71" t="s">
        <v>245</v>
      </c>
      <c r="L218" s="23">
        <f>0.462+M183+E217*SIN(C195*PI()/180)-0.5*L213*COS(C195*PI()/180)</f>
        <v>2.003244612516374</v>
      </c>
      <c r="M218" s="59" t="s">
        <v>19</v>
      </c>
    </row>
    <row r="219" spans="4:10" ht="15.75">
      <c r="D219" s="27" t="s">
        <v>26</v>
      </c>
      <c r="E219" s="28"/>
      <c r="F219" s="29"/>
      <c r="G219" s="20" t="s">
        <v>119</v>
      </c>
      <c r="H219" s="44">
        <f>E6*H190+L206*L210-2*E213*L213*L216+E206*E210</f>
        <v>3.8857805861880484E-16</v>
      </c>
      <c r="I219" s="23" t="s">
        <v>56</v>
      </c>
      <c r="J219" s="21"/>
    </row>
    <row r="220" spans="4:13" ht="15.75">
      <c r="D220" s="34"/>
      <c r="E220" s="9"/>
      <c r="F220" s="35"/>
      <c r="G220" s="20" t="s">
        <v>120</v>
      </c>
      <c r="H220" s="44">
        <f>E6*H191+L206*L211-2*E213*L213*L217+E206*E211</f>
        <v>-3.301305299769386</v>
      </c>
      <c r="I220" s="23" t="s">
        <v>37</v>
      </c>
      <c r="J220" s="21"/>
      <c r="K220" s="117" t="s">
        <v>246</v>
      </c>
      <c r="M220" s="54"/>
    </row>
    <row r="221" spans="4:13" ht="15.75">
      <c r="D221" s="30"/>
      <c r="E221" s="31"/>
      <c r="F221" s="32"/>
      <c r="G221" s="20" t="s">
        <v>121</v>
      </c>
      <c r="H221" s="44">
        <f>E6*H192+L206*L212-2*E213*L213*L218+E206*E212</f>
        <v>10.139047093947188</v>
      </c>
      <c r="I221" s="23" t="s">
        <v>36</v>
      </c>
      <c r="J221" s="21"/>
      <c r="M221" s="54"/>
    </row>
    <row r="222" spans="4:13" ht="12.75">
      <c r="D222" s="27" t="s">
        <v>122</v>
      </c>
      <c r="E222" s="28"/>
      <c r="F222" s="29"/>
      <c r="G222" s="20" t="s">
        <v>124</v>
      </c>
      <c r="H222" s="44">
        <f>H219/E6</f>
        <v>3.885780586188048E-17</v>
      </c>
      <c r="I222" s="33" t="s">
        <v>55</v>
      </c>
      <c r="J222" s="21"/>
      <c r="M222" s="54"/>
    </row>
    <row r="223" spans="4:10" ht="12.75">
      <c r="D223" s="34"/>
      <c r="E223" s="9"/>
      <c r="F223" s="35"/>
      <c r="G223" s="20" t="s">
        <v>125</v>
      </c>
      <c r="H223" s="44">
        <f>H220/E6</f>
        <v>-0.3301305299769386</v>
      </c>
      <c r="I223" s="33" t="s">
        <v>32</v>
      </c>
      <c r="J223" s="21"/>
    </row>
    <row r="224" spans="4:10" ht="12.75">
      <c r="D224" s="30"/>
      <c r="E224" s="31"/>
      <c r="F224" s="32"/>
      <c r="G224" s="72" t="s">
        <v>123</v>
      </c>
      <c r="H224" s="44">
        <f>H221/E6</f>
        <v>1.0139047093947187</v>
      </c>
      <c r="I224" s="33" t="s">
        <v>24</v>
      </c>
      <c r="J224" s="21"/>
    </row>
    <row r="225" spans="4:10" ht="12.75">
      <c r="D225" s="22" t="s">
        <v>59</v>
      </c>
      <c r="E225" s="23"/>
      <c r="F225" s="21"/>
      <c r="G225" s="72" t="s">
        <v>126</v>
      </c>
      <c r="H225" s="44">
        <f>(H223+(H224-E10)*TAN(C195*PI()/180))*COS(C195*PI()/180)-M8*SIN(C195*PI()/180)</f>
        <v>0.013904709394718641</v>
      </c>
      <c r="I225" s="33" t="s">
        <v>19</v>
      </c>
      <c r="J225" s="21"/>
    </row>
  </sheetData>
  <printOptions/>
  <pageMargins left="0.75" right="0.75" top="1" bottom="1" header="0.5" footer="0.5"/>
  <pageSetup horizontalDpi="240" verticalDpi="24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25"/>
  <sheetViews>
    <sheetView workbookViewId="0" topLeftCell="A1">
      <selection activeCell="A1" sqref="A1"/>
    </sheetView>
  </sheetViews>
  <sheetFormatPr defaultColWidth="9.140625" defaultRowHeight="12.75"/>
  <cols>
    <col min="2" max="3" width="9.28125" style="0" bestFit="1" customWidth="1"/>
    <col min="4" max="4" width="9.28125" style="0" customWidth="1"/>
    <col min="5" max="5" width="9.28125" style="13" customWidth="1"/>
    <col min="6" max="9" width="9.28125" style="0" customWidth="1"/>
    <col min="10" max="11" width="9.28125" style="0" bestFit="1" customWidth="1"/>
    <col min="12" max="12" width="9.28125" style="0" customWidth="1"/>
    <col min="13" max="13" width="9.28125" style="0" bestFit="1" customWidth="1"/>
    <col min="14" max="14" width="9.28125" style="0" customWidth="1"/>
  </cols>
  <sheetData>
    <row r="1" spans="1:14" ht="14.25">
      <c r="A1" s="113" t="s">
        <v>247</v>
      </c>
      <c r="B1" s="1"/>
      <c r="C1" s="1"/>
      <c r="D1" s="1"/>
      <c r="E1" s="45"/>
      <c r="F1" s="1"/>
      <c r="G1" s="1"/>
      <c r="H1" s="1"/>
      <c r="I1" s="1"/>
      <c r="J1" s="1"/>
      <c r="K1" s="1"/>
      <c r="L1" s="1"/>
      <c r="M1" s="1"/>
      <c r="N1" s="1"/>
    </row>
    <row r="2" spans="1:14" s="8" customFormat="1" ht="12.75">
      <c r="A2" s="51" t="s">
        <v>51</v>
      </c>
      <c r="B2" s="50"/>
      <c r="C2" s="52">
        <v>0</v>
      </c>
      <c r="D2" s="12">
        <v>0</v>
      </c>
      <c r="E2" s="46">
        <v>1</v>
      </c>
      <c r="F2" s="12">
        <v>2</v>
      </c>
      <c r="G2" s="12">
        <v>3</v>
      </c>
      <c r="H2" s="12">
        <v>4</v>
      </c>
      <c r="I2" s="12">
        <v>5</v>
      </c>
      <c r="J2" s="12">
        <v>6</v>
      </c>
      <c r="K2" s="12">
        <v>7</v>
      </c>
      <c r="L2" s="12">
        <v>8</v>
      </c>
      <c r="M2" s="12">
        <v>9</v>
      </c>
      <c r="N2" s="12">
        <v>10</v>
      </c>
    </row>
    <row r="3" spans="1:16" ht="12.75">
      <c r="A3" s="22" t="s">
        <v>23</v>
      </c>
      <c r="B3" s="23"/>
      <c r="C3" s="59" t="s">
        <v>19</v>
      </c>
      <c r="D3" s="106">
        <v>-1</v>
      </c>
      <c r="E3" s="106">
        <v>-1</v>
      </c>
      <c r="F3" s="106">
        <v>-1</v>
      </c>
      <c r="G3" s="106">
        <v>-1</v>
      </c>
      <c r="H3" s="106">
        <v>-1</v>
      </c>
      <c r="I3" s="5">
        <v>0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P3" s="116"/>
    </row>
    <row r="4" spans="1:16" ht="14.25">
      <c r="A4" s="36" t="s">
        <v>237</v>
      </c>
      <c r="B4" s="23"/>
      <c r="C4" s="59" t="s">
        <v>33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P4" s="116"/>
    </row>
    <row r="5" spans="1:16" ht="12.75">
      <c r="A5" s="36" t="s">
        <v>239</v>
      </c>
      <c r="B5" s="23"/>
      <c r="C5" s="59" t="s">
        <v>19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P5" s="116"/>
    </row>
    <row r="6" spans="1:7" ht="15.75">
      <c r="A6" s="24" t="s">
        <v>22</v>
      </c>
      <c r="B6" s="25"/>
      <c r="C6" s="26"/>
      <c r="D6" s="61" t="s">
        <v>76</v>
      </c>
      <c r="E6" s="58">
        <f>(J3-I3)*(0.5*D4+E4+F4+G4+H4+I4+J4+K4+L4+M4+0.5*N4)</f>
        <v>10</v>
      </c>
      <c r="F6" s="31" t="s">
        <v>34</v>
      </c>
      <c r="G6" s="32"/>
    </row>
    <row r="7" spans="1:14" ht="15.75">
      <c r="A7" s="47" t="s">
        <v>240</v>
      </c>
      <c r="B7" s="48"/>
      <c r="C7" s="21"/>
      <c r="D7" s="6" t="s">
        <v>60</v>
      </c>
      <c r="E7" s="44">
        <v>10</v>
      </c>
      <c r="F7" s="23" t="s">
        <v>33</v>
      </c>
      <c r="G7" s="21"/>
      <c r="I7" t="s">
        <v>243</v>
      </c>
      <c r="L7" t="s">
        <v>65</v>
      </c>
      <c r="M7" s="8">
        <v>1</v>
      </c>
      <c r="N7" t="s">
        <v>19</v>
      </c>
    </row>
    <row r="8" spans="1:14" ht="15.75">
      <c r="A8" s="27" t="s">
        <v>26</v>
      </c>
      <c r="B8" s="28"/>
      <c r="C8" s="29"/>
      <c r="D8" s="20" t="s">
        <v>78</v>
      </c>
      <c r="E8" s="44">
        <f>(J3-I3)*(0.5*D4*D5+E4*E5+F4*F5+G4*G5+H4*H5+I4*I5+J4*J5+K4*K5+L4*L5+M4*M5+0.5*N4*N5)</f>
        <v>10</v>
      </c>
      <c r="F8" s="23" t="s">
        <v>36</v>
      </c>
      <c r="G8" s="21"/>
      <c r="I8" t="s">
        <v>81</v>
      </c>
      <c r="L8" t="s">
        <v>82</v>
      </c>
      <c r="M8" s="54">
        <f>M7-E10</f>
        <v>0</v>
      </c>
      <c r="N8" t="s">
        <v>19</v>
      </c>
    </row>
    <row r="9" spans="1:14" ht="15.75">
      <c r="A9" s="34"/>
      <c r="B9" s="9"/>
      <c r="C9" s="35"/>
      <c r="D9" s="20" t="s">
        <v>77</v>
      </c>
      <c r="E9" s="44">
        <f>(J3-I3)*(J3-I3)*(-2.5*D4-4*E4-3*F4-2*G4-H4+J4+2*K4+3*L4+4*M4+2.5*N4)</f>
        <v>0</v>
      </c>
      <c r="F9" s="23" t="s">
        <v>56</v>
      </c>
      <c r="G9" s="21"/>
      <c r="I9" s="55" t="s">
        <v>62</v>
      </c>
      <c r="L9" t="s">
        <v>80</v>
      </c>
      <c r="M9" s="13">
        <f>E10+E14-M7</f>
        <v>0.10000000000000009</v>
      </c>
      <c r="N9" t="s">
        <v>19</v>
      </c>
    </row>
    <row r="10" spans="1:14" ht="15.75">
      <c r="A10" s="27" t="s">
        <v>122</v>
      </c>
      <c r="B10" s="28"/>
      <c r="C10" s="29"/>
      <c r="D10" s="20" t="s">
        <v>54</v>
      </c>
      <c r="E10" s="44">
        <f>E8/E6</f>
        <v>1</v>
      </c>
      <c r="F10" s="33" t="s">
        <v>24</v>
      </c>
      <c r="G10" s="21"/>
      <c r="I10" t="s">
        <v>59</v>
      </c>
      <c r="L10" t="s">
        <v>61</v>
      </c>
      <c r="M10" s="8">
        <f>(0+(E10-E10)*TAN(C2*PI()/180))*COS(C2*PI()/180)-M8*SIN(C2*PI()/180)</f>
        <v>0</v>
      </c>
      <c r="N10" t="s">
        <v>19</v>
      </c>
    </row>
    <row r="11" spans="1:7" ht="15.75">
      <c r="A11" s="34"/>
      <c r="B11" s="9"/>
      <c r="C11" s="35"/>
      <c r="D11" s="20" t="s">
        <v>79</v>
      </c>
      <c r="E11" s="44">
        <f>E9/E6</f>
        <v>0</v>
      </c>
      <c r="F11" s="33" t="s">
        <v>55</v>
      </c>
      <c r="G11" s="21"/>
    </row>
    <row r="12" spans="1:6" ht="15.75">
      <c r="A12" s="27" t="s">
        <v>242</v>
      </c>
      <c r="B12" s="28"/>
      <c r="C12" s="29"/>
      <c r="D12" s="20" t="s">
        <v>49</v>
      </c>
      <c r="E12" s="44">
        <v>1</v>
      </c>
      <c r="F12" s="21" t="s">
        <v>35</v>
      </c>
    </row>
    <row r="13" spans="1:6" ht="15.75">
      <c r="A13" s="34"/>
      <c r="B13" s="9"/>
      <c r="C13" s="35"/>
      <c r="D13" s="20" t="s">
        <v>50</v>
      </c>
      <c r="E13" s="44">
        <v>1</v>
      </c>
      <c r="F13" s="21" t="s">
        <v>35</v>
      </c>
    </row>
    <row r="14" spans="1:6" ht="15.75">
      <c r="A14" s="22" t="s">
        <v>27</v>
      </c>
      <c r="B14" s="23"/>
      <c r="C14" s="21"/>
      <c r="D14" s="20" t="s">
        <v>57</v>
      </c>
      <c r="E14" s="44">
        <f>E12/E6</f>
        <v>0.1</v>
      </c>
      <c r="F14" s="21" t="s">
        <v>19</v>
      </c>
    </row>
    <row r="15" spans="1:6" ht="15.75">
      <c r="A15" s="36" t="s">
        <v>28</v>
      </c>
      <c r="B15" s="23"/>
      <c r="C15" s="21"/>
      <c r="D15" s="20" t="s">
        <v>58</v>
      </c>
      <c r="E15" s="44">
        <f>E13/E6</f>
        <v>0.1</v>
      </c>
      <c r="F15" s="21" t="s">
        <v>19</v>
      </c>
    </row>
    <row r="16" spans="1:6" ht="12.75">
      <c r="A16" s="73"/>
      <c r="B16" s="9"/>
      <c r="C16" s="9"/>
      <c r="D16" s="41"/>
      <c r="E16" s="53"/>
      <c r="F16" s="9"/>
    </row>
    <row r="17" spans="1:8" ht="12.75">
      <c r="A17" s="73" t="s">
        <v>238</v>
      </c>
      <c r="B17" s="9"/>
      <c r="C17" s="9"/>
      <c r="D17" s="41"/>
      <c r="E17" s="53"/>
      <c r="F17" s="9"/>
      <c r="H17" s="54"/>
    </row>
    <row r="18" spans="1:6" ht="12.75">
      <c r="A18" s="73" t="s">
        <v>241</v>
      </c>
      <c r="B18" s="9"/>
      <c r="C18" s="9"/>
      <c r="D18" s="41"/>
      <c r="E18" s="53"/>
      <c r="F18" s="9"/>
    </row>
    <row r="19" spans="1:6" ht="12.75">
      <c r="A19" s="73" t="s">
        <v>244</v>
      </c>
      <c r="B19" s="9"/>
      <c r="C19" s="9"/>
      <c r="D19" s="41"/>
      <c r="E19" s="53"/>
      <c r="F19" s="9"/>
    </row>
    <row r="20" spans="1:6" ht="12.75">
      <c r="A20" s="73"/>
      <c r="B20" s="9"/>
      <c r="C20" s="9"/>
      <c r="D20" s="41"/>
      <c r="E20" s="53"/>
      <c r="F20" s="9"/>
    </row>
    <row r="21" spans="1:6" ht="12.75">
      <c r="A21" s="73"/>
      <c r="B21" s="9"/>
      <c r="C21" s="9"/>
      <c r="D21" s="41"/>
      <c r="E21" s="53"/>
      <c r="F21" s="9"/>
    </row>
    <row r="22" spans="1:6" ht="12.75">
      <c r="A22" s="73"/>
      <c r="B22" s="9"/>
      <c r="C22" s="9"/>
      <c r="D22" s="41"/>
      <c r="E22" s="53"/>
      <c r="F22" s="9"/>
    </row>
    <row r="23" spans="1:6" ht="12.75">
      <c r="A23" s="73"/>
      <c r="B23" s="9"/>
      <c r="C23" s="9"/>
      <c r="D23" s="41"/>
      <c r="E23" s="53"/>
      <c r="F23" s="9"/>
    </row>
    <row r="24" spans="1:6" ht="12.75">
      <c r="A24" s="73"/>
      <c r="B24" s="9"/>
      <c r="C24" s="9"/>
      <c r="D24" s="41"/>
      <c r="E24" s="53"/>
      <c r="F24" s="9"/>
    </row>
    <row r="25" spans="1:6" ht="12.75">
      <c r="A25" s="73"/>
      <c r="B25" s="9"/>
      <c r="C25" s="9"/>
      <c r="D25" s="41"/>
      <c r="E25" s="53"/>
      <c r="F25" s="9"/>
    </row>
    <row r="26" spans="1:6" ht="12.75">
      <c r="A26" s="73"/>
      <c r="B26" s="9"/>
      <c r="C26" s="9"/>
      <c r="D26" s="41"/>
      <c r="E26" s="53"/>
      <c r="F26" s="9"/>
    </row>
    <row r="27" spans="1:6" ht="12.75">
      <c r="A27" s="73"/>
      <c r="B27" s="9"/>
      <c r="C27" s="9"/>
      <c r="D27" s="41"/>
      <c r="E27" s="53"/>
      <c r="F27" s="9"/>
    </row>
    <row r="28" spans="1:6" ht="12.75">
      <c r="A28" s="73"/>
      <c r="B28" s="9"/>
      <c r="C28" s="9"/>
      <c r="D28" s="41"/>
      <c r="E28" s="53"/>
      <c r="F28" s="9"/>
    </row>
    <row r="29" spans="1:6" ht="12.75">
      <c r="A29" s="73"/>
      <c r="B29" s="9"/>
      <c r="C29" s="9"/>
      <c r="D29" s="41"/>
      <c r="E29" s="53"/>
      <c r="F29" s="9"/>
    </row>
    <row r="30" spans="1:6" ht="12.75">
      <c r="A30" s="73"/>
      <c r="B30" s="9"/>
      <c r="C30" s="9"/>
      <c r="D30" s="41"/>
      <c r="E30" s="53"/>
      <c r="F30" s="9"/>
    </row>
    <row r="31" spans="1:6" ht="12.75">
      <c r="A31" s="73"/>
      <c r="B31" s="9"/>
      <c r="C31" s="9"/>
      <c r="D31" s="41"/>
      <c r="E31" s="53"/>
      <c r="F31" s="9"/>
    </row>
    <row r="32" spans="1:6" ht="12.75">
      <c r="A32" s="73"/>
      <c r="B32" s="9"/>
      <c r="C32" s="9"/>
      <c r="D32" s="41"/>
      <c r="E32" s="53"/>
      <c r="F32" s="9"/>
    </row>
    <row r="33" spans="1:6" ht="12.75">
      <c r="A33" s="73"/>
      <c r="B33" s="9"/>
      <c r="C33" s="9"/>
      <c r="D33" s="41"/>
      <c r="E33" s="53"/>
      <c r="F33" s="9"/>
    </row>
    <row r="34" spans="1:14" ht="12.75">
      <c r="A34" s="9"/>
      <c r="B34" s="9"/>
      <c r="C34" s="9"/>
      <c r="E34" s="53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51" t="s">
        <v>51</v>
      </c>
      <c r="B35" s="50"/>
      <c r="C35" s="52">
        <v>15</v>
      </c>
      <c r="D35" s="12">
        <v>0</v>
      </c>
      <c r="E35" s="46">
        <v>1</v>
      </c>
      <c r="F35" s="12">
        <v>2</v>
      </c>
      <c r="G35" s="12">
        <v>3</v>
      </c>
      <c r="H35" s="12">
        <v>4</v>
      </c>
      <c r="I35" s="12">
        <v>5</v>
      </c>
      <c r="J35" s="12">
        <v>6</v>
      </c>
      <c r="K35" s="12">
        <v>7</v>
      </c>
      <c r="L35" s="12">
        <v>8</v>
      </c>
      <c r="M35" s="12">
        <v>9</v>
      </c>
      <c r="N35" s="12">
        <v>10</v>
      </c>
    </row>
    <row r="36" spans="1:14" ht="12.75">
      <c r="A36" s="22" t="s">
        <v>23</v>
      </c>
      <c r="B36" s="23"/>
      <c r="C36" s="59" t="s">
        <v>19</v>
      </c>
      <c r="D36" s="106">
        <v>-1</v>
      </c>
      <c r="E36" s="106">
        <v>-1</v>
      </c>
      <c r="F36" s="106">
        <v>-1</v>
      </c>
      <c r="G36" s="106">
        <v>-1</v>
      </c>
      <c r="H36" s="106">
        <v>-1</v>
      </c>
      <c r="I36" s="5">
        <v>0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</row>
    <row r="37" spans="1:14" ht="14.25">
      <c r="A37" s="22" t="s">
        <v>83</v>
      </c>
      <c r="B37" s="23"/>
      <c r="C37" s="59" t="s">
        <v>33</v>
      </c>
      <c r="D37" s="76">
        <v>0</v>
      </c>
      <c r="E37" s="77">
        <v>-0.025</v>
      </c>
      <c r="F37" s="76">
        <v>-0.05</v>
      </c>
      <c r="G37" s="76">
        <v>-0.075</v>
      </c>
      <c r="H37" s="76">
        <v>-0.1</v>
      </c>
      <c r="I37" s="76">
        <v>-0.1</v>
      </c>
      <c r="J37" s="76">
        <v>-0.1</v>
      </c>
      <c r="K37" s="76">
        <v>-0.075</v>
      </c>
      <c r="L37" s="76">
        <v>-0.05</v>
      </c>
      <c r="M37" s="76">
        <v>-0.025</v>
      </c>
      <c r="N37" s="76">
        <v>0</v>
      </c>
    </row>
    <row r="38" spans="1:14" ht="12.75">
      <c r="A38" s="22" t="s">
        <v>74</v>
      </c>
      <c r="B38" s="23"/>
      <c r="C38" s="59" t="s">
        <v>19</v>
      </c>
      <c r="D38" s="38">
        <v>0.2</v>
      </c>
      <c r="E38" s="38">
        <v>0.2</v>
      </c>
      <c r="F38" s="38">
        <v>0.2</v>
      </c>
      <c r="G38" s="38">
        <v>0.2</v>
      </c>
      <c r="H38" s="38">
        <v>0.2</v>
      </c>
      <c r="I38" s="38">
        <v>0.2</v>
      </c>
      <c r="J38" s="38">
        <v>0.2</v>
      </c>
      <c r="K38" s="38">
        <v>0.2</v>
      </c>
      <c r="L38" s="38">
        <v>0.2</v>
      </c>
      <c r="M38" s="38">
        <v>0.2</v>
      </c>
      <c r="N38" s="38">
        <v>0.2</v>
      </c>
    </row>
    <row r="39" spans="1:14" ht="12.75">
      <c r="A39" s="27" t="s">
        <v>75</v>
      </c>
      <c r="B39" s="9"/>
      <c r="C39" s="62" t="s">
        <v>19</v>
      </c>
      <c r="D39" s="38">
        <v>-0.2</v>
      </c>
      <c r="E39" s="38">
        <v>-0.2</v>
      </c>
      <c r="F39" s="38">
        <v>-0.2</v>
      </c>
      <c r="G39" s="38">
        <v>-0.2</v>
      </c>
      <c r="H39" s="38">
        <v>-0.2</v>
      </c>
      <c r="I39" s="38">
        <v>-0.2</v>
      </c>
      <c r="J39" s="38">
        <v>-0.2</v>
      </c>
      <c r="K39" s="38">
        <v>-0.2</v>
      </c>
      <c r="L39" s="38">
        <v>-0.2</v>
      </c>
      <c r="M39" s="38">
        <v>-0.2</v>
      </c>
      <c r="N39" s="38">
        <v>-0.2</v>
      </c>
    </row>
    <row r="40" spans="1:14" ht="15.75">
      <c r="A40" s="22" t="s">
        <v>85</v>
      </c>
      <c r="B40" s="23"/>
      <c r="C40" s="60" t="s">
        <v>19</v>
      </c>
      <c r="D40" s="76">
        <v>0</v>
      </c>
      <c r="E40" s="77">
        <v>-0.025</v>
      </c>
      <c r="F40" s="76">
        <v>-0.05</v>
      </c>
      <c r="G40" s="76">
        <v>-0.075</v>
      </c>
      <c r="H40" s="76">
        <v>-0.1</v>
      </c>
      <c r="I40" s="76">
        <v>-0.1</v>
      </c>
      <c r="J40" s="76">
        <v>-0.1</v>
      </c>
      <c r="K40" s="76">
        <v>-0.075</v>
      </c>
      <c r="L40" s="76">
        <v>-0.05</v>
      </c>
      <c r="M40" s="76">
        <v>-0.025</v>
      </c>
      <c r="N40" s="76">
        <v>0</v>
      </c>
    </row>
    <row r="41" spans="1:14" ht="14.25">
      <c r="A41" s="22" t="s">
        <v>84</v>
      </c>
      <c r="B41" s="23"/>
      <c r="C41" s="59" t="s">
        <v>33</v>
      </c>
      <c r="D41" s="76">
        <v>0</v>
      </c>
      <c r="E41" s="76">
        <v>0.05</v>
      </c>
      <c r="F41" s="76">
        <v>0.1</v>
      </c>
      <c r="G41" s="76">
        <v>0.15</v>
      </c>
      <c r="H41" s="76">
        <v>0.2</v>
      </c>
      <c r="I41" s="76">
        <v>0.2</v>
      </c>
      <c r="J41" s="76">
        <v>0.2</v>
      </c>
      <c r="K41" s="76">
        <v>0.15</v>
      </c>
      <c r="L41" s="76">
        <v>0.1</v>
      </c>
      <c r="M41" s="76">
        <v>0.05</v>
      </c>
      <c r="N41" s="76">
        <v>0</v>
      </c>
    </row>
    <row r="42" spans="1:14" ht="12.75">
      <c r="A42" s="22" t="s">
        <v>74</v>
      </c>
      <c r="B42" s="23"/>
      <c r="C42" s="59" t="s">
        <v>19</v>
      </c>
      <c r="D42" s="38">
        <v>0.6</v>
      </c>
      <c r="E42" s="38">
        <v>0.6</v>
      </c>
      <c r="F42" s="38">
        <v>0.6</v>
      </c>
      <c r="G42" s="38">
        <v>0.6</v>
      </c>
      <c r="H42" s="38">
        <v>0.6</v>
      </c>
      <c r="I42" s="38">
        <v>0.6</v>
      </c>
      <c r="J42" s="38">
        <v>0.6</v>
      </c>
      <c r="K42" s="38">
        <v>0.6</v>
      </c>
      <c r="L42" s="38">
        <v>0.6</v>
      </c>
      <c r="M42" s="38">
        <v>0.6</v>
      </c>
      <c r="N42" s="38">
        <v>0.6</v>
      </c>
    </row>
    <row r="43" spans="1:14" ht="12.75">
      <c r="A43" s="22" t="s">
        <v>75</v>
      </c>
      <c r="B43" s="23"/>
      <c r="C43" s="60" t="s">
        <v>19</v>
      </c>
      <c r="D43" s="38">
        <v>0.2</v>
      </c>
      <c r="E43" s="38">
        <v>0.2</v>
      </c>
      <c r="F43" s="38">
        <v>0.2</v>
      </c>
      <c r="G43" s="38">
        <v>0.2</v>
      </c>
      <c r="H43" s="38">
        <v>0.2</v>
      </c>
      <c r="I43" s="38">
        <v>0.2</v>
      </c>
      <c r="J43" s="38">
        <v>0.2</v>
      </c>
      <c r="K43" s="38">
        <v>0.2</v>
      </c>
      <c r="L43" s="38">
        <v>0.2</v>
      </c>
      <c r="M43" s="38">
        <v>0.2</v>
      </c>
      <c r="N43" s="38">
        <v>0.2</v>
      </c>
    </row>
    <row r="44" spans="1:14" ht="15.75">
      <c r="A44" s="22" t="s">
        <v>86</v>
      </c>
      <c r="B44" s="23"/>
      <c r="C44" s="60" t="s">
        <v>19</v>
      </c>
      <c r="D44" s="76">
        <v>0</v>
      </c>
      <c r="E44" s="76">
        <v>0.05</v>
      </c>
      <c r="F44" s="76">
        <v>0.1</v>
      </c>
      <c r="G44" s="76">
        <v>0.15</v>
      </c>
      <c r="H44" s="76">
        <v>0.2</v>
      </c>
      <c r="I44" s="76">
        <v>0.2</v>
      </c>
      <c r="J44" s="76">
        <v>0.2</v>
      </c>
      <c r="K44" s="76">
        <v>0.15</v>
      </c>
      <c r="L44" s="76">
        <v>0.1</v>
      </c>
      <c r="M44" s="76">
        <v>0.05</v>
      </c>
      <c r="N44" s="76">
        <v>0</v>
      </c>
    </row>
    <row r="46" spans="1:14" ht="15.75">
      <c r="A46" s="24" t="s">
        <v>87</v>
      </c>
      <c r="B46" s="25"/>
      <c r="C46" s="26"/>
      <c r="D46" s="20" t="s">
        <v>88</v>
      </c>
      <c r="E46" s="44">
        <f>(J36-I36)*(0.5*D37+E37+F37+G37+H37+I37+J37+K37+L37+M37+0.5*N37)</f>
        <v>-0.6</v>
      </c>
      <c r="F46" s="70" t="s">
        <v>34</v>
      </c>
      <c r="G46" s="34"/>
      <c r="H46" s="24" t="s">
        <v>98</v>
      </c>
      <c r="I46" s="25"/>
      <c r="J46" s="26"/>
      <c r="K46" s="20" t="s">
        <v>101</v>
      </c>
      <c r="L46" s="44">
        <f>(J36-I36)*(0.5*D41+E41+F41+G41+H41+I41+J41+K41+L41+M41+0.5*N41)</f>
        <v>1.2</v>
      </c>
      <c r="M46" s="70" t="s">
        <v>34</v>
      </c>
      <c r="N46" s="34"/>
    </row>
    <row r="47" spans="1:15" ht="15.75">
      <c r="A47" s="47" t="s">
        <v>89</v>
      </c>
      <c r="B47" s="48"/>
      <c r="C47" s="49"/>
      <c r="D47" s="20" t="s">
        <v>90</v>
      </c>
      <c r="E47" s="44">
        <f>(J36-I36)*(J36-I36)*((-2.5)*D37+(-4)*E37+(-3)*F37+(-2)*G37-H37+J37+2*K37+3*L37+4*M37+2.5*N37)</f>
        <v>-2.7755575615628914E-17</v>
      </c>
      <c r="F47" s="70" t="s">
        <v>91</v>
      </c>
      <c r="G47" s="34"/>
      <c r="H47" s="47" t="s">
        <v>99</v>
      </c>
      <c r="I47" s="48"/>
      <c r="J47" s="49"/>
      <c r="K47" s="20" t="s">
        <v>102</v>
      </c>
      <c r="L47" s="44">
        <f>(J36-I36)*(J36-I36)*((-2.5)*D41+(-4)*E41+(-3)*F41+(-2)*G41-H41+J41+2*K41+3*L41+4*M41+2.5*N41)</f>
        <v>5.551115123125783E-17</v>
      </c>
      <c r="M47" s="70" t="s">
        <v>91</v>
      </c>
      <c r="N47" s="34"/>
      <c r="O47" s="74"/>
    </row>
    <row r="48" spans="1:15" ht="15.75">
      <c r="A48" s="63"/>
      <c r="B48" s="64"/>
      <c r="C48" s="65"/>
      <c r="D48" s="20" t="s">
        <v>92</v>
      </c>
      <c r="E48" s="44">
        <f>(J36-I36)*(0.5*D37*D39+E37*E39+F37*F39+G37*G39+H37*H39+I37*I39+J37*J39+K37*K39+L37*L39+M37*M39+0.5*N37*N39)</f>
        <v>0.12000000000000002</v>
      </c>
      <c r="F48" s="70" t="s">
        <v>35</v>
      </c>
      <c r="G48" s="34"/>
      <c r="H48" s="63"/>
      <c r="I48" s="64"/>
      <c r="J48" s="65"/>
      <c r="K48" s="20" t="s">
        <v>103</v>
      </c>
      <c r="L48" s="44">
        <f>(J36-I36)*(0.5*D41*D43+E41*E43+F41*F43+G41*G43+H41*H43+I41*I43+J41*J43+K41*K43+L41*L43+M41*M43+0.5*N41*N43)</f>
        <v>0.24000000000000005</v>
      </c>
      <c r="M48" s="70" t="s">
        <v>35</v>
      </c>
      <c r="N48" s="34"/>
      <c r="O48" s="74"/>
    </row>
    <row r="49" spans="1:15" ht="15.75">
      <c r="A49" s="66"/>
      <c r="B49" s="67"/>
      <c r="C49" s="68"/>
      <c r="D49" s="20" t="s">
        <v>93</v>
      </c>
      <c r="E49" s="44">
        <f>(J36-I36)*(0.5*D37*D38+E37*E38+F37*F38+G37*G38+H37*H38+I37*I38+J37*J38+K37*K38+L37*L38+M37*M38+0.5*N37*N38)</f>
        <v>-0.12000000000000002</v>
      </c>
      <c r="F49" s="70" t="s">
        <v>35</v>
      </c>
      <c r="G49" s="34"/>
      <c r="H49" s="66"/>
      <c r="I49" s="67"/>
      <c r="J49" s="68"/>
      <c r="K49" s="20" t="s">
        <v>104</v>
      </c>
      <c r="L49" s="44">
        <f>(J36-I36)*(0.5*D41*D42+E41*E42+F41*F42+G41*G42+H41*H42+I41*I42+J41*J42+K41*K42+L41*L42+M41*M42+0.5*N41*N42)</f>
        <v>0.72</v>
      </c>
      <c r="M49" s="70" t="s">
        <v>35</v>
      </c>
      <c r="N49" s="34"/>
      <c r="O49" s="74"/>
    </row>
    <row r="50" spans="1:14" ht="15.75">
      <c r="A50" s="63" t="s">
        <v>94</v>
      </c>
      <c r="B50" s="64"/>
      <c r="C50" s="49"/>
      <c r="D50" s="20" t="s">
        <v>95</v>
      </c>
      <c r="E50" s="44">
        <f>E47/E46</f>
        <v>4.625929269271486E-17</v>
      </c>
      <c r="F50" s="70" t="s">
        <v>19</v>
      </c>
      <c r="G50" s="34"/>
      <c r="H50" s="63" t="s">
        <v>100</v>
      </c>
      <c r="I50" s="64"/>
      <c r="J50" s="49"/>
      <c r="K50" s="20" t="s">
        <v>105</v>
      </c>
      <c r="L50" s="44">
        <f>L47/L46</f>
        <v>4.625929269271486E-17</v>
      </c>
      <c r="M50" s="70" t="s">
        <v>19</v>
      </c>
      <c r="N50" s="34"/>
    </row>
    <row r="51" spans="1:14" ht="15.75">
      <c r="A51" s="63"/>
      <c r="B51" s="64"/>
      <c r="C51" s="65"/>
      <c r="D51" s="20" t="s">
        <v>96</v>
      </c>
      <c r="E51" s="44">
        <f>E48/E46</f>
        <v>-0.20000000000000004</v>
      </c>
      <c r="F51" s="70" t="s">
        <v>19</v>
      </c>
      <c r="G51" s="34"/>
      <c r="H51" s="63"/>
      <c r="I51" s="64"/>
      <c r="J51" s="65"/>
      <c r="K51" s="20" t="s">
        <v>106</v>
      </c>
      <c r="L51" s="44">
        <f>L48/L46</f>
        <v>0.20000000000000004</v>
      </c>
      <c r="M51" s="70" t="s">
        <v>19</v>
      </c>
      <c r="N51" s="34"/>
    </row>
    <row r="52" spans="1:14" ht="15.75">
      <c r="A52" s="66"/>
      <c r="B52" s="67"/>
      <c r="C52" s="68"/>
      <c r="D52" s="69" t="s">
        <v>97</v>
      </c>
      <c r="E52" s="44">
        <f>E49/E46</f>
        <v>0.20000000000000004</v>
      </c>
      <c r="F52" s="70" t="s">
        <v>19</v>
      </c>
      <c r="G52" s="34"/>
      <c r="H52" s="66"/>
      <c r="I52" s="67"/>
      <c r="J52" s="68"/>
      <c r="K52" s="69" t="s">
        <v>107</v>
      </c>
      <c r="L52" s="44">
        <f>L49/L46</f>
        <v>0.6</v>
      </c>
      <c r="M52" s="70" t="s">
        <v>19</v>
      </c>
      <c r="N52" s="34"/>
    </row>
    <row r="53" spans="1:13" ht="15.75">
      <c r="A53" s="22" t="s">
        <v>52</v>
      </c>
      <c r="B53" s="23"/>
      <c r="C53" s="21"/>
      <c r="D53" s="71" t="s">
        <v>108</v>
      </c>
      <c r="E53" s="44">
        <f>(0.5*(D44-D40)+E44-E40+F44-F40+G44-G40+H44-H40+I44-I40+J44-J40+K44-K40+L44-L40+M44-M40+0.5*(N44-N40))*(J36-I36)</f>
        <v>1.8</v>
      </c>
      <c r="F53" s="59" t="s">
        <v>33</v>
      </c>
      <c r="H53" s="22" t="s">
        <v>53</v>
      </c>
      <c r="I53" s="23"/>
      <c r="J53" s="21"/>
      <c r="K53" s="71" t="s">
        <v>114</v>
      </c>
      <c r="L53" s="23">
        <f>0.5*(L46+E46)/E53</f>
        <v>0.16666666666666666</v>
      </c>
      <c r="M53" s="59" t="s">
        <v>19</v>
      </c>
    </row>
    <row r="54" spans="1:13" ht="15.75">
      <c r="A54" s="27" t="s">
        <v>111</v>
      </c>
      <c r="B54" s="28"/>
      <c r="C54" s="29"/>
      <c r="D54" s="71" t="s">
        <v>112</v>
      </c>
      <c r="E54" s="44">
        <f>(J36-I36)*(J36-I36)*((-2.5)*(D44-D40)+(-4)*(E44-E40)+(-3)*(F44-F40)+(-2)*(G44-G40)-(H44-H40)+J44-J40+2*(K44-K40)+3*(L44-L40)+4*(M44-M40)+2.5*(N44-N40))</f>
        <v>-1.1102230246251565E-16</v>
      </c>
      <c r="F54" s="60" t="s">
        <v>19</v>
      </c>
      <c r="H54" s="27" t="s">
        <v>115</v>
      </c>
      <c r="I54" s="28"/>
      <c r="J54" s="29"/>
      <c r="K54" s="71" t="s">
        <v>132</v>
      </c>
      <c r="L54" s="23">
        <f>L53*COS((C2*PI()/180))/SIN((C35*PI()/180)-(C2*PI()/180))</f>
        <v>0.6439505508593789</v>
      </c>
      <c r="M54" s="59">
        <f>L54</f>
        <v>0.6439505508593789</v>
      </c>
    </row>
    <row r="55" spans="1:13" ht="15.75">
      <c r="A55" s="30"/>
      <c r="B55" s="31"/>
      <c r="C55" s="32"/>
      <c r="D55" s="71" t="s">
        <v>113</v>
      </c>
      <c r="E55" s="44">
        <f>0.5*(J36-I36)*(0.5*(D44-D40)*(D44+B4)+(E44-E40)*(E44+E40)+(F44-F40)*(F44+F40)+(G44-G40)*(G44+G40)+(H44-H40)*(H44+H40)+(I44-I40)*(I44+I40)+(J44-J40)*(J44+J40)+(K44-K40)*(K44+K40)+(L44-L40)*(L44+L40)+(M44-M40)*(M44+M40)+0.5*(N44-N40)*(N44+N40))</f>
        <v>0.07125000000000001</v>
      </c>
      <c r="F55" s="60" t="s">
        <v>19</v>
      </c>
      <c r="H55" s="30"/>
      <c r="I55" s="31"/>
      <c r="J55" s="32"/>
      <c r="K55" s="71" t="s">
        <v>133</v>
      </c>
      <c r="L55" s="23">
        <f>L53*SIN((C2*PI()/180))/SIN((C35*PI()/180)-(C2*PI()/180))</f>
        <v>0</v>
      </c>
      <c r="M55" s="59">
        <f>L55</f>
        <v>0</v>
      </c>
    </row>
    <row r="56" spans="1:13" ht="15.75">
      <c r="A56" s="27" t="s">
        <v>127</v>
      </c>
      <c r="B56" s="28"/>
      <c r="C56" s="29"/>
      <c r="D56" s="71" t="s">
        <v>109</v>
      </c>
      <c r="E56" s="44">
        <f>E54/E53</f>
        <v>-6.167905692361981E-17</v>
      </c>
      <c r="F56" s="59" t="s">
        <v>19</v>
      </c>
      <c r="H56" s="27" t="s">
        <v>118</v>
      </c>
      <c r="I56" s="28"/>
      <c r="J56" s="29"/>
      <c r="K56" s="71" t="s">
        <v>116</v>
      </c>
      <c r="L56" s="75">
        <f>E56</f>
        <v>-6.167905692361981E-17</v>
      </c>
      <c r="M56" s="59" t="s">
        <v>19</v>
      </c>
    </row>
    <row r="57" spans="1:13" ht="15.75">
      <c r="A57" s="30"/>
      <c r="B57" s="31"/>
      <c r="C57" s="32"/>
      <c r="D57" s="71" t="s">
        <v>110</v>
      </c>
      <c r="E57" s="44">
        <f>E55/E53</f>
        <v>0.03958333333333334</v>
      </c>
      <c r="F57" s="59" t="s">
        <v>19</v>
      </c>
      <c r="H57" s="34"/>
      <c r="I57" s="9"/>
      <c r="J57" s="35"/>
      <c r="K57" s="71" t="s">
        <v>117</v>
      </c>
      <c r="L57" s="23">
        <f>E57*COS(C35*PI()/180)+0.5*L53*SIN(C35*PI()/180)</f>
        <v>0.05980281771581902</v>
      </c>
      <c r="M57" s="59" t="s">
        <v>19</v>
      </c>
    </row>
    <row r="58" spans="8:13" ht="15.75">
      <c r="H58" s="30"/>
      <c r="I58" s="31"/>
      <c r="J58" s="32"/>
      <c r="K58" s="71" t="s">
        <v>245</v>
      </c>
      <c r="L58" s="23">
        <f>0.462+E57*SIN(C35*PI()/180)-0.5*L53*COS(C35*PI()/180)</f>
        <v>0.3917511016778858</v>
      </c>
      <c r="M58" s="59" t="s">
        <v>19</v>
      </c>
    </row>
    <row r="59" spans="4:10" ht="15.75">
      <c r="D59" s="27" t="s">
        <v>26</v>
      </c>
      <c r="E59" s="28"/>
      <c r="F59" s="29"/>
      <c r="G59" s="20" t="s">
        <v>119</v>
      </c>
      <c r="H59" s="44">
        <f>E6*E11+L46*L50-2*E53*L53*L56+E46*E50</f>
        <v>6.476300976980079E-17</v>
      </c>
      <c r="I59" s="23" t="s">
        <v>56</v>
      </c>
      <c r="J59" s="21"/>
    </row>
    <row r="60" spans="4:12" ht="15.75">
      <c r="D60" s="34"/>
      <c r="E60" s="9"/>
      <c r="F60" s="35"/>
      <c r="G60" s="20" t="s">
        <v>120</v>
      </c>
      <c r="H60" s="44">
        <f>E6*0+L46*L51-2*E53*L53*L57+E46*E51</f>
        <v>0.3241183093705087</v>
      </c>
      <c r="I60" s="23" t="s">
        <v>37</v>
      </c>
      <c r="J60" s="21"/>
      <c r="K60" s="117" t="s">
        <v>248</v>
      </c>
      <c r="L60" s="54"/>
    </row>
    <row r="61" spans="4:10" ht="15.75">
      <c r="D61" s="30"/>
      <c r="E61" s="31"/>
      <c r="F61" s="32"/>
      <c r="G61" s="20" t="s">
        <v>121</v>
      </c>
      <c r="H61" s="44">
        <f>E6*E10+L46*L52-2*E53*L53*L58+E46*E52</f>
        <v>10.36494933899327</v>
      </c>
      <c r="I61" s="23" t="s">
        <v>36</v>
      </c>
      <c r="J61" s="21"/>
    </row>
    <row r="62" spans="4:12" ht="12.75">
      <c r="D62" s="27" t="s">
        <v>122</v>
      </c>
      <c r="E62" s="28"/>
      <c r="F62" s="29"/>
      <c r="G62" s="20" t="s">
        <v>124</v>
      </c>
      <c r="H62" s="44">
        <f>H59/E6</f>
        <v>6.476300976980079E-18</v>
      </c>
      <c r="I62" s="33" t="s">
        <v>55</v>
      </c>
      <c r="J62" s="21"/>
      <c r="L62" s="54"/>
    </row>
    <row r="63" spans="4:10" ht="12.75">
      <c r="D63" s="34"/>
      <c r="E63" s="9"/>
      <c r="F63" s="35"/>
      <c r="G63" s="20" t="s">
        <v>125</v>
      </c>
      <c r="H63" s="44">
        <f>H60/E6</f>
        <v>0.03241183093705087</v>
      </c>
      <c r="I63" s="33" t="s">
        <v>32</v>
      </c>
      <c r="J63" s="21"/>
    </row>
    <row r="64" spans="4:10" ht="12.75">
      <c r="D64" s="30"/>
      <c r="E64" s="31"/>
      <c r="F64" s="32"/>
      <c r="G64" s="72" t="s">
        <v>123</v>
      </c>
      <c r="H64" s="44">
        <f>H61/E6</f>
        <v>1.036494933899327</v>
      </c>
      <c r="I64" s="33" t="s">
        <v>24</v>
      </c>
      <c r="J64" s="21"/>
    </row>
    <row r="65" spans="4:10" ht="12.75">
      <c r="D65" s="22" t="s">
        <v>59</v>
      </c>
      <c r="E65" s="23"/>
      <c r="F65" s="21"/>
      <c r="G65" s="72" t="s">
        <v>126</v>
      </c>
      <c r="H65" s="44">
        <f>(H63+(H64-E10)*TAN(C35*PI()/180))*COS(C35*PI()/180)-M8*SIN(C35*PI()/180)</f>
        <v>0.04075300852231588</v>
      </c>
      <c r="I65" s="33" t="s">
        <v>19</v>
      </c>
      <c r="J65" s="21"/>
    </row>
    <row r="67" spans="1:14" ht="12.75">
      <c r="A67" s="51" t="s">
        <v>51</v>
      </c>
      <c r="B67" s="50"/>
      <c r="C67" s="52">
        <v>30</v>
      </c>
      <c r="D67" s="12">
        <v>0</v>
      </c>
      <c r="E67" s="46">
        <v>1</v>
      </c>
      <c r="F67" s="12">
        <v>2</v>
      </c>
      <c r="G67" s="12">
        <v>3</v>
      </c>
      <c r="H67" s="12">
        <v>4</v>
      </c>
      <c r="I67" s="12">
        <v>5</v>
      </c>
      <c r="J67" s="12">
        <v>6</v>
      </c>
      <c r="K67" s="12">
        <v>7</v>
      </c>
      <c r="L67" s="12">
        <v>8</v>
      </c>
      <c r="M67" s="12">
        <v>9</v>
      </c>
      <c r="N67" s="12">
        <v>10</v>
      </c>
    </row>
    <row r="68" spans="1:14" ht="12.75">
      <c r="A68" s="22" t="s">
        <v>23</v>
      </c>
      <c r="B68" s="23"/>
      <c r="C68" s="59" t="s">
        <v>19</v>
      </c>
      <c r="D68" s="106">
        <v>-1</v>
      </c>
      <c r="E68" s="106">
        <v>-1</v>
      </c>
      <c r="F68" s="106">
        <v>-1</v>
      </c>
      <c r="G68" s="106">
        <v>-1</v>
      </c>
      <c r="H68" s="106">
        <v>-1</v>
      </c>
      <c r="I68" s="5">
        <v>0</v>
      </c>
      <c r="J68" s="4">
        <v>1</v>
      </c>
      <c r="K68" s="4">
        <v>1</v>
      </c>
      <c r="L68" s="4">
        <v>1</v>
      </c>
      <c r="M68" s="4">
        <v>1</v>
      </c>
      <c r="N68" s="4">
        <v>1</v>
      </c>
    </row>
    <row r="69" spans="1:14" ht="14.25">
      <c r="A69" s="22" t="s">
        <v>83</v>
      </c>
      <c r="B69" s="23"/>
      <c r="C69" s="59" t="s">
        <v>33</v>
      </c>
      <c r="D69" s="76">
        <v>0</v>
      </c>
      <c r="E69" s="77">
        <v>-0.025</v>
      </c>
      <c r="F69" s="76">
        <v>-0.05</v>
      </c>
      <c r="G69" s="76">
        <v>-0.075</v>
      </c>
      <c r="H69" s="76">
        <v>-0.1</v>
      </c>
      <c r="I69" s="76">
        <v>-0.1</v>
      </c>
      <c r="J69" s="76">
        <v>-0.1</v>
      </c>
      <c r="K69" s="76">
        <v>-0.075</v>
      </c>
      <c r="L69" s="76">
        <v>-0.05</v>
      </c>
      <c r="M69" s="76">
        <v>-0.025</v>
      </c>
      <c r="N69" s="76">
        <v>0</v>
      </c>
    </row>
    <row r="70" spans="1:14" ht="12.75">
      <c r="A70" s="22" t="s">
        <v>74</v>
      </c>
      <c r="B70" s="23"/>
      <c r="C70" s="59" t="s">
        <v>19</v>
      </c>
      <c r="D70" s="38">
        <v>0.2</v>
      </c>
      <c r="E70" s="38">
        <v>0.2</v>
      </c>
      <c r="F70" s="38">
        <v>0.2</v>
      </c>
      <c r="G70" s="38">
        <v>0.2</v>
      </c>
      <c r="H70" s="38">
        <v>0.2</v>
      </c>
      <c r="I70" s="38">
        <v>0.2</v>
      </c>
      <c r="J70" s="38">
        <v>0.2</v>
      </c>
      <c r="K70" s="38">
        <v>0.2</v>
      </c>
      <c r="L70" s="38">
        <v>0.2</v>
      </c>
      <c r="M70" s="38">
        <v>0.2</v>
      </c>
      <c r="N70" s="38">
        <v>0.2</v>
      </c>
    </row>
    <row r="71" spans="1:14" ht="12.75">
      <c r="A71" s="27" t="s">
        <v>75</v>
      </c>
      <c r="B71" s="9"/>
      <c r="C71" s="62" t="s">
        <v>19</v>
      </c>
      <c r="D71" s="38">
        <v>-0.2</v>
      </c>
      <c r="E71" s="38">
        <v>-0.2</v>
      </c>
      <c r="F71" s="38">
        <v>-0.2</v>
      </c>
      <c r="G71" s="38">
        <v>-0.2</v>
      </c>
      <c r="H71" s="38">
        <v>-0.2</v>
      </c>
      <c r="I71" s="38">
        <v>-0.2</v>
      </c>
      <c r="J71" s="38">
        <v>-0.2</v>
      </c>
      <c r="K71" s="38">
        <v>-0.2</v>
      </c>
      <c r="L71" s="38">
        <v>-0.2</v>
      </c>
      <c r="M71" s="38">
        <v>-0.2</v>
      </c>
      <c r="N71" s="38">
        <v>-0.2</v>
      </c>
    </row>
    <row r="72" spans="1:14" ht="15.75">
      <c r="A72" s="22" t="s">
        <v>85</v>
      </c>
      <c r="B72" s="23"/>
      <c r="C72" s="60" t="s">
        <v>19</v>
      </c>
      <c r="D72" s="76">
        <v>0</v>
      </c>
      <c r="E72" s="77">
        <v>-0.025</v>
      </c>
      <c r="F72" s="76">
        <v>-0.05</v>
      </c>
      <c r="G72" s="76">
        <v>-0.075</v>
      </c>
      <c r="H72" s="76">
        <v>-0.1</v>
      </c>
      <c r="I72" s="76">
        <v>-0.1</v>
      </c>
      <c r="J72" s="76">
        <v>-0.1</v>
      </c>
      <c r="K72" s="76">
        <v>-0.075</v>
      </c>
      <c r="L72" s="76">
        <v>-0.05</v>
      </c>
      <c r="M72" s="76">
        <v>-0.025</v>
      </c>
      <c r="N72" s="76">
        <v>0</v>
      </c>
    </row>
    <row r="73" spans="1:14" ht="14.25">
      <c r="A73" s="22" t="s">
        <v>84</v>
      </c>
      <c r="B73" s="23"/>
      <c r="C73" s="59" t="s">
        <v>33</v>
      </c>
      <c r="D73" s="76">
        <v>0</v>
      </c>
      <c r="E73" s="76">
        <v>0.05</v>
      </c>
      <c r="F73" s="76">
        <v>0.1</v>
      </c>
      <c r="G73" s="76">
        <v>0.15</v>
      </c>
      <c r="H73" s="76">
        <v>0.2</v>
      </c>
      <c r="I73" s="76">
        <v>0.2</v>
      </c>
      <c r="J73" s="76">
        <v>0.2</v>
      </c>
      <c r="K73" s="76">
        <v>0.15</v>
      </c>
      <c r="L73" s="76">
        <v>0.1</v>
      </c>
      <c r="M73" s="76">
        <v>0.05</v>
      </c>
      <c r="N73" s="76">
        <v>0</v>
      </c>
    </row>
    <row r="74" spans="1:14" ht="12.75">
      <c r="A74" s="22" t="s">
        <v>74</v>
      </c>
      <c r="B74" s="23"/>
      <c r="C74" s="59" t="s">
        <v>19</v>
      </c>
      <c r="D74" s="38">
        <v>0.6</v>
      </c>
      <c r="E74" s="38">
        <v>0.6</v>
      </c>
      <c r="F74" s="38">
        <v>0.6</v>
      </c>
      <c r="G74" s="38">
        <v>0.6</v>
      </c>
      <c r="H74" s="38">
        <v>0.6</v>
      </c>
      <c r="I74" s="38">
        <v>0.6</v>
      </c>
      <c r="J74" s="38">
        <v>0.6</v>
      </c>
      <c r="K74" s="38">
        <v>0.6</v>
      </c>
      <c r="L74" s="38">
        <v>0.6</v>
      </c>
      <c r="M74" s="38">
        <v>0.6</v>
      </c>
      <c r="N74" s="38">
        <v>0.6</v>
      </c>
    </row>
    <row r="75" spans="1:14" ht="12.75">
      <c r="A75" s="22" t="s">
        <v>75</v>
      </c>
      <c r="B75" s="23"/>
      <c r="C75" s="60" t="s">
        <v>19</v>
      </c>
      <c r="D75" s="38">
        <v>0.2</v>
      </c>
      <c r="E75" s="38">
        <v>0.2</v>
      </c>
      <c r="F75" s="38">
        <v>0.2</v>
      </c>
      <c r="G75" s="38">
        <v>0.2</v>
      </c>
      <c r="H75" s="38">
        <v>0.2</v>
      </c>
      <c r="I75" s="38">
        <v>0.2</v>
      </c>
      <c r="J75" s="38">
        <v>0.2</v>
      </c>
      <c r="K75" s="38">
        <v>0.2</v>
      </c>
      <c r="L75" s="38">
        <v>0.2</v>
      </c>
      <c r="M75" s="38">
        <v>0.2</v>
      </c>
      <c r="N75" s="38">
        <v>0.2</v>
      </c>
    </row>
    <row r="76" spans="1:14" ht="15.75">
      <c r="A76" s="22" t="s">
        <v>86</v>
      </c>
      <c r="B76" s="23"/>
      <c r="C76" s="60" t="s">
        <v>19</v>
      </c>
      <c r="D76" s="76">
        <v>0</v>
      </c>
      <c r="E76" s="76">
        <v>0.05</v>
      </c>
      <c r="F76" s="76">
        <v>0.1</v>
      </c>
      <c r="G76" s="76">
        <v>0.15</v>
      </c>
      <c r="H76" s="76">
        <v>0.2</v>
      </c>
      <c r="I76" s="76">
        <v>0.2</v>
      </c>
      <c r="J76" s="76">
        <v>0.2</v>
      </c>
      <c r="K76" s="76">
        <v>0.15</v>
      </c>
      <c r="L76" s="76">
        <v>0.1</v>
      </c>
      <c r="M76" s="76">
        <v>0.05</v>
      </c>
      <c r="N76" s="76">
        <v>0</v>
      </c>
    </row>
    <row r="78" spans="1:14" ht="15.75">
      <c r="A78" s="24" t="s">
        <v>87</v>
      </c>
      <c r="B78" s="25"/>
      <c r="C78" s="26"/>
      <c r="D78" s="20" t="s">
        <v>88</v>
      </c>
      <c r="E78" s="44">
        <f>(J68-I68)*(0.5*D69+E69+F69+G69+H69+I69+J69+K69+L69+M69+0.5*N69)</f>
        <v>-0.6</v>
      </c>
      <c r="F78" s="70" t="s">
        <v>34</v>
      </c>
      <c r="G78" s="34"/>
      <c r="H78" s="24" t="s">
        <v>98</v>
      </c>
      <c r="I78" s="25"/>
      <c r="J78" s="26"/>
      <c r="K78" s="20" t="s">
        <v>101</v>
      </c>
      <c r="L78" s="44">
        <f>(J68-I68)*(0.5*D73+E73+F73+G73+H73+I73+J73+K73+L73+M73+0.5*N73)</f>
        <v>1.2</v>
      </c>
      <c r="M78" s="70" t="s">
        <v>34</v>
      </c>
      <c r="N78" s="34"/>
    </row>
    <row r="79" spans="1:14" ht="15.75">
      <c r="A79" s="47" t="s">
        <v>89</v>
      </c>
      <c r="B79" s="48"/>
      <c r="C79" s="49"/>
      <c r="D79" s="20" t="s">
        <v>90</v>
      </c>
      <c r="E79" s="44">
        <f>(J68-I68)*(J68-I68)*((-2.5)*D69+(-4)*E69+(-3)*F69+(-2)*G69-H69+J69+2*K69+3*L69+4*M69+2.5*N69)</f>
        <v>-2.7755575615628914E-17</v>
      </c>
      <c r="F79" s="70" t="s">
        <v>91</v>
      </c>
      <c r="G79" s="34"/>
      <c r="H79" s="47" t="s">
        <v>99</v>
      </c>
      <c r="I79" s="48"/>
      <c r="J79" s="49"/>
      <c r="K79" s="20" t="s">
        <v>102</v>
      </c>
      <c r="L79" s="44">
        <f>(J68-I68)*(J68-I68)*((-2.5)*D73+(-4)*E73+(-3)*F73+(-2)*G73-H73+J73+2*K73+3*L73+4*M73+2.5*N73)</f>
        <v>5.551115123125783E-17</v>
      </c>
      <c r="M79" s="70" t="s">
        <v>91</v>
      </c>
      <c r="N79" s="34"/>
    </row>
    <row r="80" spans="1:14" ht="15.75">
      <c r="A80" s="63"/>
      <c r="B80" s="64"/>
      <c r="C80" s="65"/>
      <c r="D80" s="20" t="s">
        <v>92</v>
      </c>
      <c r="E80" s="44">
        <f>(J68-I68)*(0.5*D69*D71+E69*E71+F69*F71+G69*G71+H69*H71+I69*I71+J69*J71+K69*K71+L69*L71+M69*M71+0.5*N69*N71)</f>
        <v>0.12000000000000002</v>
      </c>
      <c r="F80" s="70" t="s">
        <v>35</v>
      </c>
      <c r="G80" s="34"/>
      <c r="H80" s="63"/>
      <c r="I80" s="64"/>
      <c r="J80" s="65"/>
      <c r="K80" s="20" t="s">
        <v>103</v>
      </c>
      <c r="L80" s="44">
        <f>(J68-I68)*(0.5*D73*D75+E73*E75+F73*F75+G73*G75+H73*H75+I73*I75+J73*J75+K73*K75+L73*L75+M73*M75+0.5*N73*N75)</f>
        <v>0.24000000000000005</v>
      </c>
      <c r="M80" s="70" t="s">
        <v>35</v>
      </c>
      <c r="N80" s="34"/>
    </row>
    <row r="81" spans="1:14" ht="15.75">
      <c r="A81" s="66"/>
      <c r="B81" s="67"/>
      <c r="C81" s="68"/>
      <c r="D81" s="20" t="s">
        <v>93</v>
      </c>
      <c r="E81" s="44">
        <f>(J68-I68)*(0.5*D69*D70+E69*E70+F69*F70+G69*G70+H69*H70+I69*I70+J69*J70+K69*K70+L69*L70+M69*M70+0.5*N69*N70)</f>
        <v>-0.12000000000000002</v>
      </c>
      <c r="F81" s="70" t="s">
        <v>35</v>
      </c>
      <c r="G81" s="34"/>
      <c r="H81" s="66"/>
      <c r="I81" s="67"/>
      <c r="J81" s="68"/>
      <c r="K81" s="20" t="s">
        <v>104</v>
      </c>
      <c r="L81" s="44">
        <f>(J68-I68)*(0.5*D73*D74+E73*E74+F73*F74+G73*G74+H73*H74+I73*I74+J73*J74+K73*K74+L73*L74+M73*M74+0.5*N73*N74)</f>
        <v>0.72</v>
      </c>
      <c r="M81" s="70" t="s">
        <v>35</v>
      </c>
      <c r="N81" s="34"/>
    </row>
    <row r="82" spans="1:14" ht="15.75">
      <c r="A82" s="63" t="s">
        <v>94</v>
      </c>
      <c r="B82" s="64"/>
      <c r="C82" s="49"/>
      <c r="D82" s="20" t="s">
        <v>95</v>
      </c>
      <c r="E82" s="44">
        <f>E79/E78</f>
        <v>4.625929269271486E-17</v>
      </c>
      <c r="F82" s="70" t="s">
        <v>19</v>
      </c>
      <c r="G82" s="34"/>
      <c r="H82" s="63" t="s">
        <v>100</v>
      </c>
      <c r="I82" s="64"/>
      <c r="J82" s="49"/>
      <c r="K82" s="20" t="s">
        <v>105</v>
      </c>
      <c r="L82" s="44">
        <f>L79/L78</f>
        <v>4.625929269271486E-17</v>
      </c>
      <c r="M82" s="70" t="s">
        <v>19</v>
      </c>
      <c r="N82" s="34"/>
    </row>
    <row r="83" spans="1:14" ht="15.75">
      <c r="A83" s="63"/>
      <c r="B83" s="64"/>
      <c r="C83" s="65"/>
      <c r="D83" s="20" t="s">
        <v>96</v>
      </c>
      <c r="E83" s="44">
        <f>E80/E78</f>
        <v>-0.20000000000000004</v>
      </c>
      <c r="F83" s="70" t="s">
        <v>19</v>
      </c>
      <c r="G83" s="34"/>
      <c r="H83" s="63"/>
      <c r="I83" s="64"/>
      <c r="J83" s="65"/>
      <c r="K83" s="20" t="s">
        <v>106</v>
      </c>
      <c r="L83" s="44">
        <f>L80/L78</f>
        <v>0.20000000000000004</v>
      </c>
      <c r="M83" s="70" t="s">
        <v>19</v>
      </c>
      <c r="N83" s="34"/>
    </row>
    <row r="84" spans="1:14" ht="15.75">
      <c r="A84" s="66"/>
      <c r="B84" s="67"/>
      <c r="C84" s="68"/>
      <c r="D84" s="69" t="s">
        <v>97</v>
      </c>
      <c r="E84" s="44">
        <f>E81/E78</f>
        <v>0.20000000000000004</v>
      </c>
      <c r="F84" s="70" t="s">
        <v>19</v>
      </c>
      <c r="G84" s="34"/>
      <c r="H84" s="66"/>
      <c r="I84" s="67"/>
      <c r="J84" s="68"/>
      <c r="K84" s="69" t="s">
        <v>107</v>
      </c>
      <c r="L84" s="44">
        <f>L81/L78</f>
        <v>0.6</v>
      </c>
      <c r="M84" s="70" t="s">
        <v>19</v>
      </c>
      <c r="N84" s="34"/>
    </row>
    <row r="85" spans="1:13" ht="15.75">
      <c r="A85" s="22" t="s">
        <v>52</v>
      </c>
      <c r="B85" s="23"/>
      <c r="C85" s="21"/>
      <c r="D85" s="71" t="s">
        <v>108</v>
      </c>
      <c r="E85" s="44">
        <f>(0.5*(D76-D72)+E76-E72+F76-F72+G76-G72+H76-H72+I76-I72+J76-J72+K76-K72+L76-L72+M76-M72+0.5*(N76-N72))*(J68-I68)</f>
        <v>1.8</v>
      </c>
      <c r="F85" s="59" t="s">
        <v>33</v>
      </c>
      <c r="H85" s="22" t="s">
        <v>53</v>
      </c>
      <c r="I85" s="23"/>
      <c r="J85" s="21"/>
      <c r="K85" s="71" t="s">
        <v>114</v>
      </c>
      <c r="L85" s="75">
        <f>0.5*(L78+E78)/E85</f>
        <v>0.16666666666666666</v>
      </c>
      <c r="M85" s="59" t="s">
        <v>19</v>
      </c>
    </row>
    <row r="86" spans="1:13" ht="15.75">
      <c r="A86" s="27" t="s">
        <v>111</v>
      </c>
      <c r="B86" s="28"/>
      <c r="C86" s="29"/>
      <c r="D86" s="71" t="s">
        <v>112</v>
      </c>
      <c r="E86" s="44">
        <f>(J68-I68)*(J68-I68)*((-2.5)*(D76-D72)+(-4)*(E76-E72)+(-3)*(F76-F72)+(-2)*(G76-G72)-(H76-H72)+J76-J72+2*(K76-K72)+3*(L76-L72)+4*(M76-M72)+2.5*(N76-N72))</f>
        <v>-1.1102230246251565E-16</v>
      </c>
      <c r="F86" s="60" t="s">
        <v>19</v>
      </c>
      <c r="H86" s="27" t="s">
        <v>115</v>
      </c>
      <c r="I86" s="28"/>
      <c r="J86" s="29"/>
      <c r="K86" s="71" t="s">
        <v>131</v>
      </c>
      <c r="L86" s="75">
        <f>L85*COS((C35*PI()/180))/SIN((C67*PI()/180)-(C35*PI()/180))</f>
        <v>0.6220084679281462</v>
      </c>
      <c r="M86" s="115">
        <f>M54+L86</f>
        <v>1.2659590187875251</v>
      </c>
    </row>
    <row r="87" spans="1:13" ht="15.75">
      <c r="A87" s="30"/>
      <c r="B87" s="31"/>
      <c r="C87" s="32"/>
      <c r="D87" s="71" t="s">
        <v>113</v>
      </c>
      <c r="E87" s="44">
        <f>0.5*(J68-I68)*(0.5*(D76-D72)*(D76+B36)+(E76-E72)*(E76+E72)+(F76-F72)*(F76+F72)+(G76-G72)*(G76+G72)+(H76-H72)*(H76+H72)+(I76-I72)*(I76+I72)+(J76-J72)*(J76+J72)+(K76-K72)*(K76+K72)+(L76-L72)*(L76+L72)+(M76-M72)*(M76+M72)+0.5*(N76-N72)*(N76+N72))</f>
        <v>0.07125000000000001</v>
      </c>
      <c r="F87" s="60" t="s">
        <v>19</v>
      </c>
      <c r="H87" s="30"/>
      <c r="I87" s="31"/>
      <c r="J87" s="32"/>
      <c r="K87" s="71" t="s">
        <v>128</v>
      </c>
      <c r="L87" s="75">
        <f>L85*SIN((C35*PI()/180))/SIN((C67*PI()/180)-(C35*PI()/180))</f>
        <v>0.16666666666666666</v>
      </c>
      <c r="M87" s="115">
        <f>M55+L87</f>
        <v>0.16666666666666666</v>
      </c>
    </row>
    <row r="88" spans="1:13" ht="15.75">
      <c r="A88" s="27" t="s">
        <v>127</v>
      </c>
      <c r="B88" s="28"/>
      <c r="C88" s="29"/>
      <c r="D88" s="71" t="s">
        <v>109</v>
      </c>
      <c r="E88" s="44">
        <f>E86/E85</f>
        <v>-6.167905692361981E-17</v>
      </c>
      <c r="F88" s="59" t="s">
        <v>19</v>
      </c>
      <c r="H88" s="27" t="s">
        <v>118</v>
      </c>
      <c r="I88" s="28"/>
      <c r="J88" s="29"/>
      <c r="K88" s="71" t="s">
        <v>116</v>
      </c>
      <c r="L88" s="75">
        <f>E88</f>
        <v>-6.167905692361981E-17</v>
      </c>
      <c r="M88" s="59" t="s">
        <v>19</v>
      </c>
    </row>
    <row r="89" spans="1:13" ht="15.75">
      <c r="A89" s="30"/>
      <c r="B89" s="31"/>
      <c r="C89" s="32"/>
      <c r="D89" s="71" t="s">
        <v>110</v>
      </c>
      <c r="E89" s="44">
        <f>E87/E85</f>
        <v>0.03958333333333334</v>
      </c>
      <c r="F89" s="59" t="s">
        <v>19</v>
      </c>
      <c r="H89" s="34"/>
      <c r="I89" s="9"/>
      <c r="J89" s="35"/>
      <c r="K89" s="71" t="s">
        <v>117</v>
      </c>
      <c r="L89" s="75">
        <f>L54+E89*COS(C67*PI()/180)+0.5*L85*SIN(C67*PI()/180)</f>
        <v>0.7198973897591796</v>
      </c>
      <c r="M89" s="59" t="s">
        <v>19</v>
      </c>
    </row>
    <row r="90" spans="8:13" ht="15.75">
      <c r="H90" s="30"/>
      <c r="I90" s="31"/>
      <c r="J90" s="32"/>
      <c r="K90" s="71" t="s">
        <v>245</v>
      </c>
      <c r="L90" s="75">
        <f>0.462+L55+E89*SIN(C67*PI()/180)-0.5*L85*COS(C67*PI()/180)</f>
        <v>0.40962288301796346</v>
      </c>
      <c r="M90" s="59" t="s">
        <v>19</v>
      </c>
    </row>
    <row r="91" spans="4:10" ht="15.75">
      <c r="D91" s="27" t="s">
        <v>26</v>
      </c>
      <c r="E91" s="28"/>
      <c r="F91" s="29"/>
      <c r="G91" s="20" t="s">
        <v>119</v>
      </c>
      <c r="H91" s="44">
        <f>E6*H62+L78*L82-2*E85*L85*L88+E78*E82</f>
        <v>1.2952601953960158E-16</v>
      </c>
      <c r="I91" s="23" t="s">
        <v>56</v>
      </c>
      <c r="J91" s="21"/>
    </row>
    <row r="92" spans="4:13" ht="15.75">
      <c r="D92" s="34"/>
      <c r="E92" s="9"/>
      <c r="F92" s="35"/>
      <c r="G92" s="20" t="s">
        <v>120</v>
      </c>
      <c r="H92" s="44">
        <f>E6*H63+L78*L83-2*E85*L85*L89+E78*E83</f>
        <v>0.252179875515001</v>
      </c>
      <c r="I92" s="23" t="s">
        <v>37</v>
      </c>
      <c r="J92" s="21"/>
      <c r="K92" s="117" t="s">
        <v>248</v>
      </c>
      <c r="M92" s="54"/>
    </row>
    <row r="93" spans="4:13" ht="15.75">
      <c r="D93" s="30"/>
      <c r="E93" s="31"/>
      <c r="F93" s="32"/>
      <c r="G93" s="20" t="s">
        <v>121</v>
      </c>
      <c r="H93" s="44">
        <f>E6*H64+L78*L84-2*E85*L85*L90+E78*E84</f>
        <v>10.719175609182493</v>
      </c>
      <c r="I93" s="23" t="s">
        <v>36</v>
      </c>
      <c r="J93" s="21"/>
      <c r="M93" s="54"/>
    </row>
    <row r="94" spans="4:13" ht="12.75">
      <c r="D94" s="27" t="s">
        <v>122</v>
      </c>
      <c r="E94" s="28"/>
      <c r="F94" s="29"/>
      <c r="G94" s="20" t="s">
        <v>124</v>
      </c>
      <c r="H94" s="44">
        <f>H91/E6</f>
        <v>1.2952601953960158E-17</v>
      </c>
      <c r="I94" s="33" t="s">
        <v>55</v>
      </c>
      <c r="J94" s="21"/>
      <c r="M94" s="54"/>
    </row>
    <row r="95" spans="4:10" ht="12.75">
      <c r="D95" s="34"/>
      <c r="E95" s="9"/>
      <c r="F95" s="35"/>
      <c r="G95" s="20" t="s">
        <v>125</v>
      </c>
      <c r="H95" s="44">
        <f>H92/E6</f>
        <v>0.0252179875515001</v>
      </c>
      <c r="I95" s="33" t="s">
        <v>32</v>
      </c>
      <c r="J95" s="21"/>
    </row>
    <row r="96" spans="4:10" ht="12.75">
      <c r="D96" s="30"/>
      <c r="E96" s="31"/>
      <c r="F96" s="32"/>
      <c r="G96" s="72" t="s">
        <v>123</v>
      </c>
      <c r="H96" s="44">
        <f>H93/E6</f>
        <v>1.0719175609182492</v>
      </c>
      <c r="I96" s="33" t="s">
        <v>24</v>
      </c>
      <c r="J96" s="21"/>
    </row>
    <row r="97" spans="4:10" ht="12.75">
      <c r="D97" s="22" t="s">
        <v>59</v>
      </c>
      <c r="E97" s="23"/>
      <c r="F97" s="21"/>
      <c r="G97" s="72" t="s">
        <v>126</v>
      </c>
      <c r="H97" s="44">
        <f>(H95+(H96-E10)*TAN(C67*PI()/180))*COS(C67*PI()/180)-M8*SIN(C67*PI()/180)</f>
        <v>0.05779819831104341</v>
      </c>
      <c r="I97" s="33" t="s">
        <v>19</v>
      </c>
      <c r="J97" s="21"/>
    </row>
    <row r="99" spans="1:14" ht="12.75">
      <c r="A99" s="51" t="s">
        <v>51</v>
      </c>
      <c r="B99" s="50"/>
      <c r="C99" s="52">
        <v>45</v>
      </c>
      <c r="D99" s="12">
        <v>0</v>
      </c>
      <c r="E99" s="46">
        <v>1</v>
      </c>
      <c r="F99" s="12">
        <v>2</v>
      </c>
      <c r="G99" s="12">
        <v>3</v>
      </c>
      <c r="H99" s="12">
        <v>4</v>
      </c>
      <c r="I99" s="12">
        <v>5</v>
      </c>
      <c r="J99" s="12">
        <v>6</v>
      </c>
      <c r="K99" s="12">
        <v>7</v>
      </c>
      <c r="L99" s="12">
        <v>8</v>
      </c>
      <c r="M99" s="12">
        <v>9</v>
      </c>
      <c r="N99" s="12">
        <v>10</v>
      </c>
    </row>
    <row r="100" spans="1:14" ht="12.75">
      <c r="A100" s="22" t="s">
        <v>23</v>
      </c>
      <c r="B100" s="23"/>
      <c r="C100" s="59" t="s">
        <v>19</v>
      </c>
      <c r="D100" s="106">
        <v>-1</v>
      </c>
      <c r="E100" s="106">
        <v>-1</v>
      </c>
      <c r="F100" s="106">
        <v>-1</v>
      </c>
      <c r="G100" s="106">
        <v>-1</v>
      </c>
      <c r="H100" s="106">
        <v>-1</v>
      </c>
      <c r="I100" s="5">
        <v>0</v>
      </c>
      <c r="J100" s="4">
        <v>1</v>
      </c>
      <c r="K100" s="4">
        <v>1</v>
      </c>
      <c r="L100" s="4">
        <v>1</v>
      </c>
      <c r="M100" s="4">
        <v>1</v>
      </c>
      <c r="N100" s="4">
        <v>1</v>
      </c>
    </row>
    <row r="101" spans="1:14" ht="14.25">
      <c r="A101" s="22" t="s">
        <v>83</v>
      </c>
      <c r="B101" s="23"/>
      <c r="C101" s="59" t="s">
        <v>33</v>
      </c>
      <c r="D101" s="76">
        <v>0</v>
      </c>
      <c r="E101" s="77">
        <v>-0.025</v>
      </c>
      <c r="F101" s="76">
        <v>-0.05</v>
      </c>
      <c r="G101" s="76">
        <v>-0.075</v>
      </c>
      <c r="H101" s="76">
        <v>-0.1</v>
      </c>
      <c r="I101" s="76">
        <v>-0.1</v>
      </c>
      <c r="J101" s="76">
        <v>-0.1</v>
      </c>
      <c r="K101" s="76">
        <v>-0.075</v>
      </c>
      <c r="L101" s="76">
        <v>-0.05</v>
      </c>
      <c r="M101" s="76">
        <v>-0.025</v>
      </c>
      <c r="N101" s="76">
        <v>0</v>
      </c>
    </row>
    <row r="102" spans="1:14" ht="12.75">
      <c r="A102" s="22" t="s">
        <v>74</v>
      </c>
      <c r="B102" s="23"/>
      <c r="C102" s="59" t="s">
        <v>19</v>
      </c>
      <c r="D102" s="38">
        <v>0.2</v>
      </c>
      <c r="E102" s="38">
        <v>0.2</v>
      </c>
      <c r="F102" s="38">
        <v>0.2</v>
      </c>
      <c r="G102" s="38">
        <v>0.2</v>
      </c>
      <c r="H102" s="38">
        <v>0.2</v>
      </c>
      <c r="I102" s="38">
        <v>0.2</v>
      </c>
      <c r="J102" s="38">
        <v>0.2</v>
      </c>
      <c r="K102" s="38">
        <v>0.2</v>
      </c>
      <c r="L102" s="38">
        <v>0.2</v>
      </c>
      <c r="M102" s="38">
        <v>0.2</v>
      </c>
      <c r="N102" s="38">
        <v>0.2</v>
      </c>
    </row>
    <row r="103" spans="1:14" ht="12.75">
      <c r="A103" s="27" t="s">
        <v>75</v>
      </c>
      <c r="B103" s="9"/>
      <c r="C103" s="62" t="s">
        <v>19</v>
      </c>
      <c r="D103" s="38">
        <v>-0.2</v>
      </c>
      <c r="E103" s="38">
        <v>-0.2</v>
      </c>
      <c r="F103" s="38">
        <v>-0.2</v>
      </c>
      <c r="G103" s="38">
        <v>-0.2</v>
      </c>
      <c r="H103" s="38">
        <v>-0.2</v>
      </c>
      <c r="I103" s="38">
        <v>-0.2</v>
      </c>
      <c r="J103" s="38">
        <v>-0.2</v>
      </c>
      <c r="K103" s="38">
        <v>-0.2</v>
      </c>
      <c r="L103" s="38">
        <v>-0.2</v>
      </c>
      <c r="M103" s="38">
        <v>-0.2</v>
      </c>
      <c r="N103" s="38">
        <v>-0.2</v>
      </c>
    </row>
    <row r="104" spans="1:14" ht="15.75">
      <c r="A104" s="22" t="s">
        <v>85</v>
      </c>
      <c r="B104" s="23"/>
      <c r="C104" s="60" t="s">
        <v>19</v>
      </c>
      <c r="D104" s="76">
        <v>0</v>
      </c>
      <c r="E104" s="77">
        <v>-0.025</v>
      </c>
      <c r="F104" s="76">
        <v>-0.05</v>
      </c>
      <c r="G104" s="76">
        <v>-0.075</v>
      </c>
      <c r="H104" s="76">
        <v>-0.1</v>
      </c>
      <c r="I104" s="76">
        <v>-0.1</v>
      </c>
      <c r="J104" s="76">
        <v>-0.1</v>
      </c>
      <c r="K104" s="76">
        <v>-0.075</v>
      </c>
      <c r="L104" s="76">
        <v>-0.05</v>
      </c>
      <c r="M104" s="76">
        <v>-0.025</v>
      </c>
      <c r="N104" s="76">
        <v>0</v>
      </c>
    </row>
    <row r="105" spans="1:14" ht="14.25">
      <c r="A105" s="22" t="s">
        <v>84</v>
      </c>
      <c r="B105" s="23"/>
      <c r="C105" s="59" t="s">
        <v>33</v>
      </c>
      <c r="D105" s="76">
        <v>0</v>
      </c>
      <c r="E105" s="76">
        <v>0.05</v>
      </c>
      <c r="F105" s="76">
        <v>0.1</v>
      </c>
      <c r="G105" s="76">
        <v>0.15</v>
      </c>
      <c r="H105" s="76">
        <v>0.2</v>
      </c>
      <c r="I105" s="76">
        <v>0.2</v>
      </c>
      <c r="J105" s="76">
        <v>0.2</v>
      </c>
      <c r="K105" s="76">
        <v>0.15</v>
      </c>
      <c r="L105" s="76">
        <v>0.1</v>
      </c>
      <c r="M105" s="76">
        <v>0.05</v>
      </c>
      <c r="N105" s="76">
        <v>0</v>
      </c>
    </row>
    <row r="106" spans="1:14" ht="12.75">
      <c r="A106" s="22" t="s">
        <v>74</v>
      </c>
      <c r="B106" s="23"/>
      <c r="C106" s="59" t="s">
        <v>19</v>
      </c>
      <c r="D106" s="38">
        <v>0.6</v>
      </c>
      <c r="E106" s="38">
        <v>0.6</v>
      </c>
      <c r="F106" s="38">
        <v>0.6</v>
      </c>
      <c r="G106" s="38">
        <v>0.6</v>
      </c>
      <c r="H106" s="38">
        <v>0.6</v>
      </c>
      <c r="I106" s="38">
        <v>0.6</v>
      </c>
      <c r="J106" s="38">
        <v>0.6</v>
      </c>
      <c r="K106" s="38">
        <v>0.6</v>
      </c>
      <c r="L106" s="38">
        <v>0.6</v>
      </c>
      <c r="M106" s="38">
        <v>0.6</v>
      </c>
      <c r="N106" s="38">
        <v>0.6</v>
      </c>
    </row>
    <row r="107" spans="1:14" ht="12.75">
      <c r="A107" s="22" t="s">
        <v>75</v>
      </c>
      <c r="B107" s="23"/>
      <c r="C107" s="60" t="s">
        <v>19</v>
      </c>
      <c r="D107" s="38">
        <v>0.2</v>
      </c>
      <c r="E107" s="38">
        <v>0.2</v>
      </c>
      <c r="F107" s="38">
        <v>0.2</v>
      </c>
      <c r="G107" s="38">
        <v>0.2</v>
      </c>
      <c r="H107" s="38">
        <v>0.2</v>
      </c>
      <c r="I107" s="38">
        <v>0.2</v>
      </c>
      <c r="J107" s="38">
        <v>0.2</v>
      </c>
      <c r="K107" s="38">
        <v>0.2</v>
      </c>
      <c r="L107" s="38">
        <v>0.2</v>
      </c>
      <c r="M107" s="38">
        <v>0.2</v>
      </c>
      <c r="N107" s="38">
        <v>0.2</v>
      </c>
    </row>
    <row r="108" spans="1:14" ht="15.75">
      <c r="A108" s="22" t="s">
        <v>86</v>
      </c>
      <c r="B108" s="23"/>
      <c r="C108" s="60" t="s">
        <v>19</v>
      </c>
      <c r="D108" s="76">
        <v>0</v>
      </c>
      <c r="E108" s="76">
        <v>0.05</v>
      </c>
      <c r="F108" s="76">
        <v>0.1</v>
      </c>
      <c r="G108" s="76">
        <v>0.15</v>
      </c>
      <c r="H108" s="76">
        <v>0.2</v>
      </c>
      <c r="I108" s="76">
        <v>0.2</v>
      </c>
      <c r="J108" s="76">
        <v>0.2</v>
      </c>
      <c r="K108" s="76">
        <v>0.15</v>
      </c>
      <c r="L108" s="76">
        <v>0.1</v>
      </c>
      <c r="M108" s="76">
        <v>0.05</v>
      </c>
      <c r="N108" s="76">
        <v>0</v>
      </c>
    </row>
    <row r="110" spans="1:14" ht="15.75">
      <c r="A110" s="24" t="s">
        <v>87</v>
      </c>
      <c r="B110" s="25"/>
      <c r="C110" s="26"/>
      <c r="D110" s="20" t="s">
        <v>88</v>
      </c>
      <c r="E110" s="44">
        <f>(J100-I100)*(0.5*D101+E101+F101+G101+H101+I101+J101+K101+L101+M101+0.5*N101)</f>
        <v>-0.6</v>
      </c>
      <c r="F110" s="70" t="s">
        <v>34</v>
      </c>
      <c r="G110" s="34"/>
      <c r="H110" s="24" t="s">
        <v>98</v>
      </c>
      <c r="I110" s="25"/>
      <c r="J110" s="26"/>
      <c r="K110" s="20" t="s">
        <v>101</v>
      </c>
      <c r="L110" s="44">
        <f>(J100-I100)*(0.5*D105+E105+F105+G105+H105+I105+J105+K105+L105+M105+0.5*N105)</f>
        <v>1.2</v>
      </c>
      <c r="M110" s="70" t="s">
        <v>34</v>
      </c>
      <c r="N110" s="34"/>
    </row>
    <row r="111" spans="1:14" ht="15.75">
      <c r="A111" s="47" t="s">
        <v>89</v>
      </c>
      <c r="B111" s="48"/>
      <c r="C111" s="49"/>
      <c r="D111" s="20" t="s">
        <v>90</v>
      </c>
      <c r="E111" s="44">
        <f>(J100-I100)*(J100-I100)*((-2.5)*D101+(-4)*E101+(-3)*F101+(-2)*G101-H101+J101+2*K101+3*L101+4*M101+2.5*N101)</f>
        <v>-2.7755575615628914E-17</v>
      </c>
      <c r="F111" s="70" t="s">
        <v>91</v>
      </c>
      <c r="G111" s="34"/>
      <c r="H111" s="47" t="s">
        <v>99</v>
      </c>
      <c r="I111" s="48"/>
      <c r="J111" s="49"/>
      <c r="K111" s="20" t="s">
        <v>102</v>
      </c>
      <c r="L111" s="44">
        <f>(J100-I100)*(J100-I100)*((-2.5)*D105+(-4)*E105+(-3)*F105+(-2)*G105-H105+J105+2*K105+3*L105+4*M105+2.5*N105)</f>
        <v>5.551115123125783E-17</v>
      </c>
      <c r="M111" s="70" t="s">
        <v>91</v>
      </c>
      <c r="N111" s="34"/>
    </row>
    <row r="112" spans="1:14" ht="15.75">
      <c r="A112" s="63"/>
      <c r="B112" s="64"/>
      <c r="C112" s="65"/>
      <c r="D112" s="20" t="s">
        <v>92</v>
      </c>
      <c r="E112" s="44">
        <f>(J100-I100)*(0.5*D101*D103+E101*E103+F101*F103+G101*G103+H101*H103+I101*I103+J101*J103+K101*K103+L101*L103+M101*M103+0.5*N101*N103)</f>
        <v>0.12000000000000002</v>
      </c>
      <c r="F112" s="70" t="s">
        <v>35</v>
      </c>
      <c r="G112" s="34"/>
      <c r="H112" s="63"/>
      <c r="I112" s="64"/>
      <c r="J112" s="65"/>
      <c r="K112" s="20" t="s">
        <v>103</v>
      </c>
      <c r="L112" s="44">
        <f>(J100-I100)*(0.5*D105*D107+E105*E107+F105*F107+G105*G107+H105*H107+I105*I107+J105*J107+K105*K107+L105*L107+M105*M107+0.5*N105*N107)</f>
        <v>0.24000000000000005</v>
      </c>
      <c r="M112" s="70" t="s">
        <v>35</v>
      </c>
      <c r="N112" s="34"/>
    </row>
    <row r="113" spans="1:14" ht="15.75">
      <c r="A113" s="66"/>
      <c r="B113" s="67"/>
      <c r="C113" s="68"/>
      <c r="D113" s="20" t="s">
        <v>93</v>
      </c>
      <c r="E113" s="44">
        <f>(J100-I100)*(0.5*D101*D102+E101*E102+F101*F102+G101*G102+H101*H102+I101*I102+J101*J102+K101*K102+L101*L102+M101*M102+0.5*N101*N102)</f>
        <v>-0.12000000000000002</v>
      </c>
      <c r="F113" s="70" t="s">
        <v>35</v>
      </c>
      <c r="G113" s="34"/>
      <c r="H113" s="66"/>
      <c r="I113" s="67"/>
      <c r="J113" s="68"/>
      <c r="K113" s="20" t="s">
        <v>104</v>
      </c>
      <c r="L113" s="44">
        <f>(J100-I100)*(0.5*D105*D106+E105*E106+F105*F106+G105*G106+H105*H106+I105*I106+J105*J106+K105*K106+L105*L106+M105*M106+0.5*N105*N106)</f>
        <v>0.72</v>
      </c>
      <c r="M113" s="70" t="s">
        <v>35</v>
      </c>
      <c r="N113" s="34"/>
    </row>
    <row r="114" spans="1:14" ht="15.75">
      <c r="A114" s="63" t="s">
        <v>94</v>
      </c>
      <c r="B114" s="64"/>
      <c r="C114" s="49"/>
      <c r="D114" s="20" t="s">
        <v>95</v>
      </c>
      <c r="E114" s="44">
        <f>E111/E110</f>
        <v>4.625929269271486E-17</v>
      </c>
      <c r="F114" s="70" t="s">
        <v>19</v>
      </c>
      <c r="G114" s="34"/>
      <c r="H114" s="63" t="s">
        <v>100</v>
      </c>
      <c r="I114" s="64"/>
      <c r="J114" s="49"/>
      <c r="K114" s="20" t="s">
        <v>105</v>
      </c>
      <c r="L114" s="44">
        <f>L111/L110</f>
        <v>4.625929269271486E-17</v>
      </c>
      <c r="M114" s="70" t="s">
        <v>19</v>
      </c>
      <c r="N114" s="34"/>
    </row>
    <row r="115" spans="1:14" ht="15.75">
      <c r="A115" s="63"/>
      <c r="B115" s="64"/>
      <c r="C115" s="65"/>
      <c r="D115" s="20" t="s">
        <v>96</v>
      </c>
      <c r="E115" s="44">
        <f>E112/E110</f>
        <v>-0.20000000000000004</v>
      </c>
      <c r="F115" s="70" t="s">
        <v>19</v>
      </c>
      <c r="G115" s="34"/>
      <c r="H115" s="63"/>
      <c r="I115" s="64"/>
      <c r="J115" s="65"/>
      <c r="K115" s="20" t="s">
        <v>106</v>
      </c>
      <c r="L115" s="44">
        <f>L112/L110</f>
        <v>0.20000000000000004</v>
      </c>
      <c r="M115" s="70" t="s">
        <v>19</v>
      </c>
      <c r="N115" s="34"/>
    </row>
    <row r="116" spans="1:14" ht="15.75">
      <c r="A116" s="66"/>
      <c r="B116" s="67"/>
      <c r="C116" s="68"/>
      <c r="D116" s="69" t="s">
        <v>97</v>
      </c>
      <c r="E116" s="44">
        <f>E113/E110</f>
        <v>0.20000000000000004</v>
      </c>
      <c r="F116" s="70" t="s">
        <v>19</v>
      </c>
      <c r="G116" s="34"/>
      <c r="H116" s="66"/>
      <c r="I116" s="67"/>
      <c r="J116" s="68"/>
      <c r="K116" s="69" t="s">
        <v>107</v>
      </c>
      <c r="L116" s="44">
        <f>L113/L110</f>
        <v>0.6</v>
      </c>
      <c r="M116" s="70" t="s">
        <v>19</v>
      </c>
      <c r="N116" s="34"/>
    </row>
    <row r="117" spans="1:13" ht="15.75">
      <c r="A117" s="22" t="s">
        <v>52</v>
      </c>
      <c r="B117" s="23"/>
      <c r="C117" s="21"/>
      <c r="D117" s="71" t="s">
        <v>108</v>
      </c>
      <c r="E117" s="44">
        <f>(0.5*(D108-D104)+E108-E104+F108-F104+G108-G104+H108-H104+I108-I104+J108-J104+K108-K104+L108-L104+M108-M104+0.5*(N108-N104))*(J100-I100)</f>
        <v>1.8</v>
      </c>
      <c r="F117" s="59" t="s">
        <v>33</v>
      </c>
      <c r="H117" s="22" t="s">
        <v>53</v>
      </c>
      <c r="I117" s="23"/>
      <c r="J117" s="21"/>
      <c r="K117" s="71" t="s">
        <v>114</v>
      </c>
      <c r="L117" s="23">
        <f>0.5*(L110+E110)/E117</f>
        <v>0.16666666666666666</v>
      </c>
      <c r="M117" s="59" t="s">
        <v>19</v>
      </c>
    </row>
    <row r="118" spans="1:13" ht="15.75">
      <c r="A118" s="27" t="s">
        <v>111</v>
      </c>
      <c r="B118" s="28"/>
      <c r="C118" s="29"/>
      <c r="D118" s="71" t="s">
        <v>112</v>
      </c>
      <c r="E118" s="44">
        <f>(J100-I100)*(J100-I100)*((-2.5)*(D108-D104)+(-4)*(E108-E104)+(-3)*(F108-F104)+(-2)*(G108-G104)-(H108-H104)+J108-J104+2*(K108-K104)+3*(L108-L104)+4*(M108-M104)+2.5*(N108-N104))</f>
        <v>-1.1102230246251565E-16</v>
      </c>
      <c r="F118" s="60" t="s">
        <v>19</v>
      </c>
      <c r="H118" s="27" t="s">
        <v>115</v>
      </c>
      <c r="I118" s="28"/>
      <c r="J118" s="29"/>
      <c r="K118" s="71" t="s">
        <v>129</v>
      </c>
      <c r="L118" s="23">
        <f>L117*COS((C67*PI()/180))/SIN((C99*PI()/180)-(C67*PI()/180))</f>
        <v>0.5576775358252052</v>
      </c>
      <c r="M118" s="59">
        <f>M86+L118</f>
        <v>1.8236365546127304</v>
      </c>
    </row>
    <row r="119" spans="1:13" ht="15.75">
      <c r="A119" s="30"/>
      <c r="B119" s="31"/>
      <c r="C119" s="32"/>
      <c r="D119" s="71" t="s">
        <v>113</v>
      </c>
      <c r="E119" s="44">
        <f>0.5*(J100-I100)*(0.5*(D108-D104)*(D108+B68)+(E108-E104)*(E108+E104)+(F108-F104)*(F108+F104)+(G108-G104)*(G108+G104)+(H108-H104)*(H108+H104)+(I108-I104)*(I108+I104)+(J108-J104)*(J108+J104)+(K108-K104)*(K108+K104)+(L108-L104)*(L108+L104)+(M108-M104)*(M108+M104)+0.5*(N108-N104)*(N108+N104))</f>
        <v>0.07125000000000001</v>
      </c>
      <c r="F119" s="60" t="s">
        <v>19</v>
      </c>
      <c r="H119" s="30"/>
      <c r="I119" s="31"/>
      <c r="J119" s="32"/>
      <c r="K119" s="71" t="s">
        <v>130</v>
      </c>
      <c r="L119" s="23">
        <f>L117*SIN((C67*PI()/180))/SIN((C99*PI()/180)-(C67*PI()/180))</f>
        <v>0.3219752754296893</v>
      </c>
      <c r="M119" s="59">
        <f>M87+L119</f>
        <v>0.4886419420963559</v>
      </c>
    </row>
    <row r="120" spans="1:13" ht="15.75">
      <c r="A120" s="27" t="s">
        <v>127</v>
      </c>
      <c r="B120" s="28"/>
      <c r="C120" s="29"/>
      <c r="D120" s="71" t="s">
        <v>109</v>
      </c>
      <c r="E120" s="44">
        <f>E118/E117</f>
        <v>-6.167905692361981E-17</v>
      </c>
      <c r="F120" s="59" t="s">
        <v>19</v>
      </c>
      <c r="H120" s="27" t="s">
        <v>118</v>
      </c>
      <c r="I120" s="28"/>
      <c r="J120" s="29"/>
      <c r="K120" s="71" t="s">
        <v>116</v>
      </c>
      <c r="L120" s="75">
        <f>E120</f>
        <v>-6.167905692361981E-17</v>
      </c>
      <c r="M120" s="59" t="s">
        <v>19</v>
      </c>
    </row>
    <row r="121" spans="1:13" ht="15.75">
      <c r="A121" s="30"/>
      <c r="B121" s="31"/>
      <c r="C121" s="32"/>
      <c r="D121" s="71" t="s">
        <v>110</v>
      </c>
      <c r="E121" s="44">
        <f>E119/E117</f>
        <v>0.03958333333333334</v>
      </c>
      <c r="F121" s="59" t="s">
        <v>19</v>
      </c>
      <c r="H121" s="34"/>
      <c r="I121" s="9"/>
      <c r="J121" s="35"/>
      <c r="K121" s="71" t="s">
        <v>117</v>
      </c>
      <c r="L121" s="23">
        <f>M86+E121*COS(C99*PI()/180)+0.5*L117*SIN(C99*PI()/180)</f>
        <v>1.3528742273083716</v>
      </c>
      <c r="M121" s="59" t="s">
        <v>19</v>
      </c>
    </row>
    <row r="122" spans="8:13" ht="15.75">
      <c r="H122" s="30"/>
      <c r="I122" s="31"/>
      <c r="J122" s="32"/>
      <c r="K122" s="71" t="s">
        <v>245</v>
      </c>
      <c r="L122" s="23">
        <f>0.462+M87+E121*SIN(C99*PI()/180)-0.5*L117*COS(C99*PI()/180)</f>
        <v>0.5977307449897553</v>
      </c>
      <c r="M122" s="59" t="s">
        <v>19</v>
      </c>
    </row>
    <row r="123" spans="4:10" ht="15.75">
      <c r="D123" s="27" t="s">
        <v>26</v>
      </c>
      <c r="E123" s="28"/>
      <c r="F123" s="29"/>
      <c r="G123" s="20" t="s">
        <v>119</v>
      </c>
      <c r="H123" s="44">
        <f>E6*H94+L110*L114-2*E117*L117*L120+E110*E114</f>
        <v>1.9428902930940237E-16</v>
      </c>
      <c r="I123" s="23" t="s">
        <v>56</v>
      </c>
      <c r="J123" s="21"/>
    </row>
    <row r="124" spans="4:13" ht="15.75">
      <c r="D124" s="34"/>
      <c r="E124" s="9"/>
      <c r="F124" s="35"/>
      <c r="G124" s="20" t="s">
        <v>120</v>
      </c>
      <c r="H124" s="44">
        <f>E6*H95+L110*L115-2*E117*L117*L121+E110*E115</f>
        <v>-0.1995446608700219</v>
      </c>
      <c r="I124" s="23" t="s">
        <v>37</v>
      </c>
      <c r="J124" s="21"/>
      <c r="K124" s="117" t="s">
        <v>248</v>
      </c>
      <c r="M124" s="54"/>
    </row>
    <row r="125" spans="4:13" ht="15.75">
      <c r="D125" s="30"/>
      <c r="E125" s="31"/>
      <c r="F125" s="32"/>
      <c r="G125" s="20" t="s">
        <v>121</v>
      </c>
      <c r="H125" s="44">
        <f>E6*H96+L110*L116-2*E117*L117*L122+E110*E116</f>
        <v>10.960537162188642</v>
      </c>
      <c r="I125" s="23" t="s">
        <v>36</v>
      </c>
      <c r="J125" s="21"/>
      <c r="M125" s="54"/>
    </row>
    <row r="126" spans="4:13" ht="12.75">
      <c r="D126" s="27" t="s">
        <v>122</v>
      </c>
      <c r="E126" s="28"/>
      <c r="F126" s="29"/>
      <c r="G126" s="20" t="s">
        <v>124</v>
      </c>
      <c r="H126" s="44">
        <f>H123/E6</f>
        <v>1.9428902930940238E-17</v>
      </c>
      <c r="I126" s="33" t="s">
        <v>55</v>
      </c>
      <c r="J126" s="21"/>
      <c r="M126" s="54"/>
    </row>
    <row r="127" spans="4:10" ht="12.75">
      <c r="D127" s="34"/>
      <c r="E127" s="9"/>
      <c r="F127" s="35"/>
      <c r="G127" s="20" t="s">
        <v>125</v>
      </c>
      <c r="H127" s="44">
        <f>H124/E6</f>
        <v>-0.01995446608700219</v>
      </c>
      <c r="I127" s="33" t="s">
        <v>32</v>
      </c>
      <c r="J127" s="21"/>
    </row>
    <row r="128" spans="4:10" ht="12.75">
      <c r="D128" s="30"/>
      <c r="E128" s="31"/>
      <c r="F128" s="32"/>
      <c r="G128" s="72" t="s">
        <v>123</v>
      </c>
      <c r="H128" s="44">
        <f>H125/E6</f>
        <v>1.0960537162188642</v>
      </c>
      <c r="I128" s="33" t="s">
        <v>24</v>
      </c>
      <c r="J128" s="21"/>
    </row>
    <row r="129" spans="4:10" ht="12.75">
      <c r="D129" s="22" t="s">
        <v>59</v>
      </c>
      <c r="E129" s="23"/>
      <c r="F129" s="21"/>
      <c r="G129" s="72" t="s">
        <v>126</v>
      </c>
      <c r="H129" s="44">
        <f>(H127+(H128-E10)*TAN(C99*PI()/180))*COS(C99*PI()/180)-M8*SIN(C99*PI()/180)</f>
        <v>0.053810295811450866</v>
      </c>
      <c r="I129" s="33" t="s">
        <v>19</v>
      </c>
      <c r="J129" s="21"/>
    </row>
    <row r="131" spans="1:14" ht="12.75">
      <c r="A131" s="51" t="s">
        <v>51</v>
      </c>
      <c r="B131" s="50"/>
      <c r="C131" s="52">
        <v>60</v>
      </c>
      <c r="D131" s="12">
        <v>0</v>
      </c>
      <c r="E131" s="46">
        <v>1</v>
      </c>
      <c r="F131" s="12">
        <v>2</v>
      </c>
      <c r="G131" s="12">
        <v>3</v>
      </c>
      <c r="H131" s="12">
        <v>4</v>
      </c>
      <c r="I131" s="12">
        <v>5</v>
      </c>
      <c r="J131" s="12">
        <v>6</v>
      </c>
      <c r="K131" s="12">
        <v>7</v>
      </c>
      <c r="L131" s="12">
        <v>8</v>
      </c>
      <c r="M131" s="12">
        <v>9</v>
      </c>
      <c r="N131" s="12">
        <v>10</v>
      </c>
    </row>
    <row r="132" spans="1:14" ht="12.75">
      <c r="A132" s="22" t="s">
        <v>23</v>
      </c>
      <c r="B132" s="23"/>
      <c r="C132" s="59" t="s">
        <v>19</v>
      </c>
      <c r="D132" s="106">
        <v>-1</v>
      </c>
      <c r="E132" s="106">
        <v>-1</v>
      </c>
      <c r="F132" s="106">
        <v>-1</v>
      </c>
      <c r="G132" s="106">
        <v>-1</v>
      </c>
      <c r="H132" s="106">
        <v>-1</v>
      </c>
      <c r="I132" s="5">
        <v>0</v>
      </c>
      <c r="J132" s="4">
        <v>1</v>
      </c>
      <c r="K132" s="4">
        <v>1</v>
      </c>
      <c r="L132" s="4">
        <v>1</v>
      </c>
      <c r="M132" s="4">
        <v>1</v>
      </c>
      <c r="N132" s="4">
        <v>1</v>
      </c>
    </row>
    <row r="133" spans="1:14" ht="14.25">
      <c r="A133" s="22" t="s">
        <v>83</v>
      </c>
      <c r="B133" s="23"/>
      <c r="C133" s="59" t="s">
        <v>33</v>
      </c>
      <c r="D133" s="76">
        <v>0</v>
      </c>
      <c r="E133" s="77">
        <v>-0.025</v>
      </c>
      <c r="F133" s="76">
        <v>-0.05</v>
      </c>
      <c r="G133" s="76">
        <v>-0.075</v>
      </c>
      <c r="H133" s="76">
        <v>-0.1</v>
      </c>
      <c r="I133" s="76">
        <v>-0.1</v>
      </c>
      <c r="J133" s="76">
        <v>-0.1</v>
      </c>
      <c r="K133" s="76">
        <v>-0.075</v>
      </c>
      <c r="L133" s="76">
        <v>-0.05</v>
      </c>
      <c r="M133" s="76">
        <v>-0.025</v>
      </c>
      <c r="N133" s="76">
        <v>0</v>
      </c>
    </row>
    <row r="134" spans="1:14" ht="12.75">
      <c r="A134" s="22" t="s">
        <v>74</v>
      </c>
      <c r="B134" s="23"/>
      <c r="C134" s="59" t="s">
        <v>19</v>
      </c>
      <c r="D134" s="38">
        <v>0.2</v>
      </c>
      <c r="E134" s="38">
        <v>0.2</v>
      </c>
      <c r="F134" s="38">
        <v>0.2</v>
      </c>
      <c r="G134" s="38">
        <v>0.2</v>
      </c>
      <c r="H134" s="38">
        <v>0.2</v>
      </c>
      <c r="I134" s="38">
        <v>0.2</v>
      </c>
      <c r="J134" s="38">
        <v>0.2</v>
      </c>
      <c r="K134" s="38">
        <v>0.2</v>
      </c>
      <c r="L134" s="38">
        <v>0.2</v>
      </c>
      <c r="M134" s="38">
        <v>0.2</v>
      </c>
      <c r="N134" s="38">
        <v>0.2</v>
      </c>
    </row>
    <row r="135" spans="1:14" ht="12.75">
      <c r="A135" s="27" t="s">
        <v>75</v>
      </c>
      <c r="B135" s="9"/>
      <c r="C135" s="62" t="s">
        <v>19</v>
      </c>
      <c r="D135" s="38">
        <v>-0.2</v>
      </c>
      <c r="E135" s="38">
        <v>-0.2</v>
      </c>
      <c r="F135" s="38">
        <v>-0.2</v>
      </c>
      <c r="G135" s="38">
        <v>-0.2</v>
      </c>
      <c r="H135" s="38">
        <v>-0.2</v>
      </c>
      <c r="I135" s="38">
        <v>-0.2</v>
      </c>
      <c r="J135" s="38">
        <v>-0.2</v>
      </c>
      <c r="K135" s="38">
        <v>-0.2</v>
      </c>
      <c r="L135" s="38">
        <v>-0.2</v>
      </c>
      <c r="M135" s="38">
        <v>-0.2</v>
      </c>
      <c r="N135" s="38">
        <v>-0.2</v>
      </c>
    </row>
    <row r="136" spans="1:14" ht="15.75">
      <c r="A136" s="22" t="s">
        <v>85</v>
      </c>
      <c r="B136" s="23"/>
      <c r="C136" s="60" t="s">
        <v>19</v>
      </c>
      <c r="D136" s="76">
        <v>0</v>
      </c>
      <c r="E136" s="77">
        <v>-0.025</v>
      </c>
      <c r="F136" s="76">
        <v>-0.05</v>
      </c>
      <c r="G136" s="76">
        <v>-0.075</v>
      </c>
      <c r="H136" s="76">
        <v>-0.1</v>
      </c>
      <c r="I136" s="76">
        <v>-0.1</v>
      </c>
      <c r="J136" s="76">
        <v>-0.1</v>
      </c>
      <c r="K136" s="76">
        <v>-0.075</v>
      </c>
      <c r="L136" s="76">
        <v>-0.05</v>
      </c>
      <c r="M136" s="76">
        <v>-0.025</v>
      </c>
      <c r="N136" s="76">
        <v>0</v>
      </c>
    </row>
    <row r="137" spans="1:14" ht="14.25">
      <c r="A137" s="22" t="s">
        <v>84</v>
      </c>
      <c r="B137" s="23"/>
      <c r="C137" s="59" t="s">
        <v>33</v>
      </c>
      <c r="D137" s="76">
        <v>0</v>
      </c>
      <c r="E137" s="76">
        <v>0.05</v>
      </c>
      <c r="F137" s="76">
        <v>0.1</v>
      </c>
      <c r="G137" s="76">
        <v>0.15</v>
      </c>
      <c r="H137" s="76">
        <v>0.2</v>
      </c>
      <c r="I137" s="76">
        <v>0.2</v>
      </c>
      <c r="J137" s="76">
        <v>0.2</v>
      </c>
      <c r="K137" s="76">
        <v>0.15</v>
      </c>
      <c r="L137" s="76">
        <v>0.1</v>
      </c>
      <c r="M137" s="76">
        <v>0.05</v>
      </c>
      <c r="N137" s="76">
        <v>0</v>
      </c>
    </row>
    <row r="138" spans="1:14" ht="12.75">
      <c r="A138" s="22" t="s">
        <v>74</v>
      </c>
      <c r="B138" s="23"/>
      <c r="C138" s="59" t="s">
        <v>19</v>
      </c>
      <c r="D138" s="38">
        <v>0.6</v>
      </c>
      <c r="E138" s="38">
        <v>0.6</v>
      </c>
      <c r="F138" s="38">
        <v>0.6</v>
      </c>
      <c r="G138" s="38">
        <v>0.6</v>
      </c>
      <c r="H138" s="38">
        <v>0.6</v>
      </c>
      <c r="I138" s="38">
        <v>0.6</v>
      </c>
      <c r="J138" s="38">
        <v>0.6</v>
      </c>
      <c r="K138" s="38">
        <v>0.6</v>
      </c>
      <c r="L138" s="38">
        <v>0.6</v>
      </c>
      <c r="M138" s="38">
        <v>0.6</v>
      </c>
      <c r="N138" s="38">
        <v>0.6</v>
      </c>
    </row>
    <row r="139" spans="1:14" ht="12.75">
      <c r="A139" s="22" t="s">
        <v>75</v>
      </c>
      <c r="B139" s="23"/>
      <c r="C139" s="60" t="s">
        <v>19</v>
      </c>
      <c r="D139" s="38">
        <v>0.2</v>
      </c>
      <c r="E139" s="38">
        <v>0.2</v>
      </c>
      <c r="F139" s="38">
        <v>0.2</v>
      </c>
      <c r="G139" s="38">
        <v>0.2</v>
      </c>
      <c r="H139" s="38">
        <v>0.2</v>
      </c>
      <c r="I139" s="38">
        <v>0.2</v>
      </c>
      <c r="J139" s="38">
        <v>0.2</v>
      </c>
      <c r="K139" s="38">
        <v>0.2</v>
      </c>
      <c r="L139" s="38">
        <v>0.2</v>
      </c>
      <c r="M139" s="38">
        <v>0.2</v>
      </c>
      <c r="N139" s="38">
        <v>0.2</v>
      </c>
    </row>
    <row r="140" spans="1:14" ht="15.75">
      <c r="A140" s="22" t="s">
        <v>86</v>
      </c>
      <c r="B140" s="23"/>
      <c r="C140" s="60" t="s">
        <v>19</v>
      </c>
      <c r="D140" s="76">
        <v>0</v>
      </c>
      <c r="E140" s="76">
        <v>0.05</v>
      </c>
      <c r="F140" s="76">
        <v>0.1</v>
      </c>
      <c r="G140" s="76">
        <v>0.15</v>
      </c>
      <c r="H140" s="76">
        <v>0.2</v>
      </c>
      <c r="I140" s="76">
        <v>0.2</v>
      </c>
      <c r="J140" s="76">
        <v>0.2</v>
      </c>
      <c r="K140" s="76">
        <v>0.15</v>
      </c>
      <c r="L140" s="76">
        <v>0.1</v>
      </c>
      <c r="M140" s="76">
        <v>0.05</v>
      </c>
      <c r="N140" s="76">
        <v>0</v>
      </c>
    </row>
    <row r="142" spans="1:14" ht="15.75">
      <c r="A142" s="24" t="s">
        <v>87</v>
      </c>
      <c r="B142" s="25"/>
      <c r="C142" s="26"/>
      <c r="D142" s="20" t="s">
        <v>88</v>
      </c>
      <c r="E142" s="44">
        <f>(J132-I132)*(0.5*D133+E133+F133+G133+H133+I133+J133+K133+L133+M133+0.5*N133)</f>
        <v>-0.6</v>
      </c>
      <c r="F142" s="70" t="s">
        <v>34</v>
      </c>
      <c r="G142" s="34"/>
      <c r="H142" s="24" t="s">
        <v>98</v>
      </c>
      <c r="I142" s="25"/>
      <c r="J142" s="26"/>
      <c r="K142" s="20" t="s">
        <v>101</v>
      </c>
      <c r="L142" s="44">
        <f>(J132-I132)*(0.5*D137+E137+F137+G137+H137+I137+J137+K137+L137+M137+0.5*N137)</f>
        <v>1.2</v>
      </c>
      <c r="M142" s="70" t="s">
        <v>34</v>
      </c>
      <c r="N142" s="34"/>
    </row>
    <row r="143" spans="1:14" ht="15.75">
      <c r="A143" s="47" t="s">
        <v>89</v>
      </c>
      <c r="B143" s="48"/>
      <c r="C143" s="49"/>
      <c r="D143" s="20" t="s">
        <v>90</v>
      </c>
      <c r="E143" s="44">
        <f>(J132-I132)*(J132-I132)*((-2.5)*D133+(-4)*E133+(-3)*F133+(-2)*G133-H133+J133+2*K133+3*L133+4*M133+2.5*N133)</f>
        <v>-2.7755575615628914E-17</v>
      </c>
      <c r="F143" s="70" t="s">
        <v>91</v>
      </c>
      <c r="G143" s="34"/>
      <c r="H143" s="47" t="s">
        <v>99</v>
      </c>
      <c r="I143" s="48"/>
      <c r="J143" s="49"/>
      <c r="K143" s="20" t="s">
        <v>102</v>
      </c>
      <c r="L143" s="44">
        <f>(J132-I132)*(J132-I132)*((-2.5)*D137+(-4)*E137+(-3)*F137+(-2)*G137-H137+J137+2*K137+3*L137+4*M137+2.5*N137)</f>
        <v>5.551115123125783E-17</v>
      </c>
      <c r="M143" s="70" t="s">
        <v>91</v>
      </c>
      <c r="N143" s="34"/>
    </row>
    <row r="144" spans="1:14" ht="15.75">
      <c r="A144" s="63"/>
      <c r="B144" s="64"/>
      <c r="C144" s="65"/>
      <c r="D144" s="20" t="s">
        <v>92</v>
      </c>
      <c r="E144" s="44">
        <f>(J132-I132)*(0.5*D133*D135+E133*E135+F133*F135+G133*G135+H133*H135+I133*I135+J133*J135+K133*K135+L133*L135+M133*M135+0.5*N133*N135)</f>
        <v>0.12000000000000002</v>
      </c>
      <c r="F144" s="70" t="s">
        <v>35</v>
      </c>
      <c r="G144" s="34"/>
      <c r="H144" s="63"/>
      <c r="I144" s="64"/>
      <c r="J144" s="65"/>
      <c r="K144" s="20" t="s">
        <v>103</v>
      </c>
      <c r="L144" s="44">
        <f>(J132-I132)*(0.5*D137*D139+E137*E139+F137*F139+G137*G139+H137*H139+I137*I139+J137*J139+K137*K139+L137*L139+M137*M139+0.5*N137*N139)</f>
        <v>0.24000000000000005</v>
      </c>
      <c r="M144" s="70" t="s">
        <v>35</v>
      </c>
      <c r="N144" s="34"/>
    </row>
    <row r="145" spans="1:14" ht="15.75">
      <c r="A145" s="66"/>
      <c r="B145" s="67"/>
      <c r="C145" s="68"/>
      <c r="D145" s="20" t="s">
        <v>93</v>
      </c>
      <c r="E145" s="44">
        <f>(J132-I132)*(0.5*D133*D134+E133*E134+F133*F134+G133*G134+H133*H134+I133*I134+J133*J134+K133*K134+L133*L134+M133*M134+0.5*N133*N134)</f>
        <v>-0.12000000000000002</v>
      </c>
      <c r="F145" s="70" t="s">
        <v>35</v>
      </c>
      <c r="G145" s="34"/>
      <c r="H145" s="66"/>
      <c r="I145" s="67"/>
      <c r="J145" s="68"/>
      <c r="K145" s="20" t="s">
        <v>104</v>
      </c>
      <c r="L145" s="44">
        <f>(J132-I132)*(0.5*D137*D138+E137*E138+F137*F138+G137*G138+H137*H138+I137*I138+J137*J138+K137*K138+L137*L138+M137*M138+0.5*N137*N138)</f>
        <v>0.72</v>
      </c>
      <c r="M145" s="70" t="s">
        <v>35</v>
      </c>
      <c r="N145" s="34"/>
    </row>
    <row r="146" spans="1:14" ht="15.75">
      <c r="A146" s="63" t="s">
        <v>94</v>
      </c>
      <c r="B146" s="64"/>
      <c r="C146" s="49"/>
      <c r="D146" s="20" t="s">
        <v>95</v>
      </c>
      <c r="E146" s="44">
        <f>E143/E142</f>
        <v>4.625929269271486E-17</v>
      </c>
      <c r="F146" s="70" t="s">
        <v>19</v>
      </c>
      <c r="G146" s="34"/>
      <c r="H146" s="63" t="s">
        <v>100</v>
      </c>
      <c r="I146" s="64"/>
      <c r="J146" s="49"/>
      <c r="K146" s="20" t="s">
        <v>105</v>
      </c>
      <c r="L146" s="44">
        <f>L143/L142</f>
        <v>4.625929269271486E-17</v>
      </c>
      <c r="M146" s="70" t="s">
        <v>19</v>
      </c>
      <c r="N146" s="34"/>
    </row>
    <row r="147" spans="1:14" ht="15.75">
      <c r="A147" s="63"/>
      <c r="B147" s="64"/>
      <c r="C147" s="65"/>
      <c r="D147" s="20" t="s">
        <v>96</v>
      </c>
      <c r="E147" s="44">
        <f>E144/E142</f>
        <v>-0.20000000000000004</v>
      </c>
      <c r="F147" s="70" t="s">
        <v>19</v>
      </c>
      <c r="G147" s="34"/>
      <c r="H147" s="63"/>
      <c r="I147" s="64"/>
      <c r="J147" s="65"/>
      <c r="K147" s="20" t="s">
        <v>106</v>
      </c>
      <c r="L147" s="44">
        <f>L144/L142</f>
        <v>0.20000000000000004</v>
      </c>
      <c r="M147" s="70" t="s">
        <v>19</v>
      </c>
      <c r="N147" s="34"/>
    </row>
    <row r="148" spans="1:14" ht="15.75">
      <c r="A148" s="66"/>
      <c r="B148" s="67"/>
      <c r="C148" s="68"/>
      <c r="D148" s="69" t="s">
        <v>97</v>
      </c>
      <c r="E148" s="44">
        <f>E145/E142</f>
        <v>0.20000000000000004</v>
      </c>
      <c r="F148" s="70" t="s">
        <v>19</v>
      </c>
      <c r="G148" s="34"/>
      <c r="H148" s="66"/>
      <c r="I148" s="67"/>
      <c r="J148" s="68"/>
      <c r="K148" s="69" t="s">
        <v>107</v>
      </c>
      <c r="L148" s="44">
        <f>L145/L142</f>
        <v>0.6</v>
      </c>
      <c r="M148" s="70" t="s">
        <v>19</v>
      </c>
      <c r="N148" s="34"/>
    </row>
    <row r="149" spans="1:13" ht="15.75">
      <c r="A149" s="22" t="s">
        <v>52</v>
      </c>
      <c r="B149" s="23"/>
      <c r="C149" s="21"/>
      <c r="D149" s="71" t="s">
        <v>108</v>
      </c>
      <c r="E149" s="44">
        <f>(0.5*(D140-D136)+E140-E136+F140-F136+G140-G136+H140-H136+I140-I136+J140-J136+K140-K136+L140-L136+M140-M136+0.5*(N140-N136))*(J132-I132)</f>
        <v>1.8</v>
      </c>
      <c r="F149" s="59" t="s">
        <v>33</v>
      </c>
      <c r="H149" s="22" t="s">
        <v>53</v>
      </c>
      <c r="I149" s="23"/>
      <c r="J149" s="21"/>
      <c r="K149" s="71" t="s">
        <v>114</v>
      </c>
      <c r="L149" s="23">
        <f>0.5*(L142+E142)/E149</f>
        <v>0.16666666666666666</v>
      </c>
      <c r="M149" s="59" t="s">
        <v>19</v>
      </c>
    </row>
    <row r="150" spans="1:13" ht="15.75">
      <c r="A150" s="27" t="s">
        <v>111</v>
      </c>
      <c r="B150" s="28"/>
      <c r="C150" s="29"/>
      <c r="D150" s="71" t="s">
        <v>112</v>
      </c>
      <c r="E150" s="44">
        <f>(J132-I132)*(J132-I132)*((-2.5)*(D140-D136)+(-4)*(E140-E136)+(-3)*(F140-F136)+(-2)*(G140-G136)-(H140-H136)+J140-J136+2*(K140-K136)+3*(L140-L136)+4*(M140-M136)+2.5*(N140-N136))</f>
        <v>-1.1102230246251565E-16</v>
      </c>
      <c r="F150" s="60" t="s">
        <v>19</v>
      </c>
      <c r="H150" s="27" t="s">
        <v>115</v>
      </c>
      <c r="I150" s="28"/>
      <c r="J150" s="29"/>
      <c r="K150" s="71" t="s">
        <v>134</v>
      </c>
      <c r="L150" s="23">
        <f>L149*COS((C99*PI()/180))/SIN((C131*PI()/180)-(C99*PI()/180))</f>
        <v>0.45534180126147966</v>
      </c>
      <c r="M150" s="59">
        <f>M118+L150</f>
        <v>2.27897835587421</v>
      </c>
    </row>
    <row r="151" spans="1:13" ht="15.75">
      <c r="A151" s="30"/>
      <c r="B151" s="31"/>
      <c r="C151" s="32"/>
      <c r="D151" s="71" t="s">
        <v>113</v>
      </c>
      <c r="E151" s="44">
        <f>0.5*(J132-I132)*(0.5*(D140-D136)*(D140+B100)+(E140-E136)*(E140+E136)+(F140-F136)*(F140+F136)+(G140-G136)*(G140+G136)+(H140-H136)*(H140+H136)+(I140-I136)*(I140+I136)+(J140-J136)*(J140+J136)+(K140-K136)*(K140+K136)+(L140-L136)*(L140+L136)+(M140-M136)*(M140+M136)+0.5*(N140-N136)*(N140+N136))</f>
        <v>0.07125000000000001</v>
      </c>
      <c r="F151" s="60" t="s">
        <v>19</v>
      </c>
      <c r="H151" s="30"/>
      <c r="I151" s="31"/>
      <c r="J151" s="32"/>
      <c r="K151" s="71" t="s">
        <v>135</v>
      </c>
      <c r="L151" s="23">
        <f>L149*SIN((C99*PI()/180))/SIN((C131*PI()/180)-(C99*PI()/180))</f>
        <v>0.4553418012614796</v>
      </c>
      <c r="M151" s="59">
        <f>M119+L151</f>
        <v>0.9439837433578355</v>
      </c>
    </row>
    <row r="152" spans="1:13" ht="15.75">
      <c r="A152" s="27" t="s">
        <v>127</v>
      </c>
      <c r="B152" s="28"/>
      <c r="C152" s="29"/>
      <c r="D152" s="71" t="s">
        <v>109</v>
      </c>
      <c r="E152" s="44">
        <f>E150/E149</f>
        <v>-6.167905692361981E-17</v>
      </c>
      <c r="F152" s="59" t="s">
        <v>19</v>
      </c>
      <c r="H152" s="27" t="s">
        <v>118</v>
      </c>
      <c r="I152" s="28"/>
      <c r="J152" s="29"/>
      <c r="K152" s="71" t="s">
        <v>116</v>
      </c>
      <c r="L152" s="75">
        <f>E152</f>
        <v>-6.167905692361981E-17</v>
      </c>
      <c r="M152" s="59" t="s">
        <v>19</v>
      </c>
    </row>
    <row r="153" spans="1:13" ht="15.75">
      <c r="A153" s="30"/>
      <c r="B153" s="31"/>
      <c r="C153" s="32"/>
      <c r="D153" s="71" t="s">
        <v>110</v>
      </c>
      <c r="E153" s="44">
        <f>E151/E149</f>
        <v>0.03958333333333334</v>
      </c>
      <c r="F153" s="59" t="s">
        <v>19</v>
      </c>
      <c r="H153" s="34"/>
      <c r="I153" s="9"/>
      <c r="J153" s="35"/>
      <c r="K153" s="71" t="s">
        <v>117</v>
      </c>
      <c r="L153" s="23">
        <f>M118+E153*COS(C131*PI()/180)+0.5*L149*SIN(C131*PI()/180)</f>
        <v>1.9155970049281004</v>
      </c>
      <c r="M153" s="59" t="s">
        <v>19</v>
      </c>
    </row>
    <row r="154" spans="8:13" ht="15.75">
      <c r="H154" s="30"/>
      <c r="I154" s="31"/>
      <c r="J154" s="32"/>
      <c r="K154" s="71" t="s">
        <v>245</v>
      </c>
      <c r="L154" s="23">
        <f>0.462+M119+E153*SIN(C131*PI()/180)-0.5*L149*COS(C131*PI()/180)</f>
        <v>0.9432554476628233</v>
      </c>
      <c r="M154" s="59" t="s">
        <v>19</v>
      </c>
    </row>
    <row r="155" spans="4:10" ht="15.75">
      <c r="D155" s="27" t="s">
        <v>26</v>
      </c>
      <c r="E155" s="28"/>
      <c r="F155" s="29"/>
      <c r="G155" s="20" t="s">
        <v>119</v>
      </c>
      <c r="H155" s="44">
        <f>E6*H126+L142*L146-2*E149*L149*L152+E142*E146</f>
        <v>2.590520390792032E-16</v>
      </c>
      <c r="I155" s="23" t="s">
        <v>56</v>
      </c>
      <c r="J155" s="21"/>
    </row>
    <row r="156" spans="4:13" ht="15.75">
      <c r="D156" s="34"/>
      <c r="E156" s="9"/>
      <c r="F156" s="35"/>
      <c r="G156" s="20" t="s">
        <v>120</v>
      </c>
      <c r="H156" s="44">
        <f>E6*H127+L142*L147-2*E149*L149*L153+E142*E147</f>
        <v>-0.9889028638268819</v>
      </c>
      <c r="I156" s="23" t="s">
        <v>37</v>
      </c>
      <c r="J156" s="21"/>
      <c r="K156" s="117" t="s">
        <v>248</v>
      </c>
      <c r="M156" s="54"/>
    </row>
    <row r="157" spans="4:13" ht="15.75">
      <c r="D157" s="30"/>
      <c r="E157" s="31"/>
      <c r="F157" s="32"/>
      <c r="G157" s="20" t="s">
        <v>121</v>
      </c>
      <c r="H157" s="44">
        <f>E6*H128+L142*L148-2*E149*L149*L154+E142*E148</f>
        <v>10.99458389359095</v>
      </c>
      <c r="I157" s="23" t="s">
        <v>36</v>
      </c>
      <c r="J157" s="21"/>
      <c r="M157" s="54"/>
    </row>
    <row r="158" spans="4:13" ht="12.75">
      <c r="D158" s="27" t="s">
        <v>122</v>
      </c>
      <c r="E158" s="28"/>
      <c r="F158" s="29"/>
      <c r="G158" s="20" t="s">
        <v>124</v>
      </c>
      <c r="H158" s="44">
        <f>H155/E6</f>
        <v>2.590520390792032E-17</v>
      </c>
      <c r="I158" s="33" t="s">
        <v>55</v>
      </c>
      <c r="J158" s="21"/>
      <c r="M158" s="54"/>
    </row>
    <row r="159" spans="4:10" ht="12.75">
      <c r="D159" s="34"/>
      <c r="E159" s="9"/>
      <c r="F159" s="35"/>
      <c r="G159" s="20" t="s">
        <v>125</v>
      </c>
      <c r="H159" s="44">
        <f>H156/E6</f>
        <v>-0.09889028638268818</v>
      </c>
      <c r="I159" s="33" t="s">
        <v>32</v>
      </c>
      <c r="J159" s="21"/>
    </row>
    <row r="160" spans="4:10" ht="12.75">
      <c r="D160" s="30"/>
      <c r="E160" s="31"/>
      <c r="F160" s="32"/>
      <c r="G160" s="72" t="s">
        <v>123</v>
      </c>
      <c r="H160" s="44">
        <f>H157/E6</f>
        <v>1.099458389359095</v>
      </c>
      <c r="I160" s="33" t="s">
        <v>24</v>
      </c>
      <c r="J160" s="21"/>
    </row>
    <row r="161" spans="4:10" ht="12.75">
      <c r="D161" s="22" t="s">
        <v>59</v>
      </c>
      <c r="E161" s="23"/>
      <c r="F161" s="21"/>
      <c r="G161" s="72" t="s">
        <v>126</v>
      </c>
      <c r="H161" s="44">
        <f>(H159+(H160-E10)*TAN(C131*PI()/180))*COS(C131*PI()/180)-M8*SIN(C131*PI()/180)</f>
        <v>0.03668834861311606</v>
      </c>
      <c r="I161" s="33" t="s">
        <v>19</v>
      </c>
      <c r="J161" s="21"/>
    </row>
    <row r="163" spans="1:14" ht="12.75">
      <c r="A163" s="51" t="s">
        <v>51</v>
      </c>
      <c r="B163" s="50"/>
      <c r="C163" s="52">
        <v>75</v>
      </c>
      <c r="D163" s="12">
        <v>0</v>
      </c>
      <c r="E163" s="46">
        <v>1</v>
      </c>
      <c r="F163" s="12">
        <v>2</v>
      </c>
      <c r="G163" s="12">
        <v>3</v>
      </c>
      <c r="H163" s="12">
        <v>4</v>
      </c>
      <c r="I163" s="12">
        <v>5</v>
      </c>
      <c r="J163" s="12">
        <v>6</v>
      </c>
      <c r="K163" s="12">
        <v>7</v>
      </c>
      <c r="L163" s="12">
        <v>8</v>
      </c>
      <c r="M163" s="12">
        <v>9</v>
      </c>
      <c r="N163" s="12">
        <v>10</v>
      </c>
    </row>
    <row r="164" spans="1:14" ht="12.75">
      <c r="A164" s="22" t="s">
        <v>23</v>
      </c>
      <c r="B164" s="23"/>
      <c r="C164" s="59" t="s">
        <v>19</v>
      </c>
      <c r="D164" s="106">
        <v>-1</v>
      </c>
      <c r="E164" s="106">
        <v>-1</v>
      </c>
      <c r="F164" s="106">
        <v>-1</v>
      </c>
      <c r="G164" s="106">
        <v>-1</v>
      </c>
      <c r="H164" s="106">
        <v>-1</v>
      </c>
      <c r="I164" s="5">
        <v>0</v>
      </c>
      <c r="J164" s="4">
        <v>1</v>
      </c>
      <c r="K164" s="4">
        <v>1</v>
      </c>
      <c r="L164" s="4">
        <v>1</v>
      </c>
      <c r="M164" s="4">
        <v>1</v>
      </c>
      <c r="N164" s="4">
        <v>1</v>
      </c>
    </row>
    <row r="165" spans="1:14" ht="14.25">
      <c r="A165" s="22" t="s">
        <v>83</v>
      </c>
      <c r="B165" s="23"/>
      <c r="C165" s="59" t="s">
        <v>33</v>
      </c>
      <c r="D165" s="76">
        <v>0</v>
      </c>
      <c r="E165" s="77">
        <v>-0.025</v>
      </c>
      <c r="F165" s="76">
        <v>-0.05</v>
      </c>
      <c r="G165" s="76">
        <v>-0.075</v>
      </c>
      <c r="H165" s="76">
        <v>-0.1</v>
      </c>
      <c r="I165" s="76">
        <v>-0.1</v>
      </c>
      <c r="J165" s="76">
        <v>-0.1</v>
      </c>
      <c r="K165" s="76">
        <v>-0.075</v>
      </c>
      <c r="L165" s="76">
        <v>-0.05</v>
      </c>
      <c r="M165" s="76">
        <v>-0.025</v>
      </c>
      <c r="N165" s="76">
        <v>0</v>
      </c>
    </row>
    <row r="166" spans="1:14" ht="12.75">
      <c r="A166" s="22" t="s">
        <v>74</v>
      </c>
      <c r="B166" s="23"/>
      <c r="C166" s="59" t="s">
        <v>19</v>
      </c>
      <c r="D166" s="38">
        <v>0.2</v>
      </c>
      <c r="E166" s="38">
        <v>0.2</v>
      </c>
      <c r="F166" s="38">
        <v>0.2</v>
      </c>
      <c r="G166" s="38">
        <v>0.2</v>
      </c>
      <c r="H166" s="38">
        <v>0.2</v>
      </c>
      <c r="I166" s="38">
        <v>0.2</v>
      </c>
      <c r="J166" s="38">
        <v>0.2</v>
      </c>
      <c r="K166" s="38">
        <v>0.2</v>
      </c>
      <c r="L166" s="38">
        <v>0.2</v>
      </c>
      <c r="M166" s="38">
        <v>0.2</v>
      </c>
      <c r="N166" s="38">
        <v>0.2</v>
      </c>
    </row>
    <row r="167" spans="1:14" ht="12.75">
      <c r="A167" s="27" t="s">
        <v>75</v>
      </c>
      <c r="B167" s="9"/>
      <c r="C167" s="62" t="s">
        <v>19</v>
      </c>
      <c r="D167" s="38">
        <v>-0.2</v>
      </c>
      <c r="E167" s="38">
        <v>-0.2</v>
      </c>
      <c r="F167" s="38">
        <v>-0.2</v>
      </c>
      <c r="G167" s="38">
        <v>-0.2</v>
      </c>
      <c r="H167" s="38">
        <v>-0.2</v>
      </c>
      <c r="I167" s="38">
        <v>-0.2</v>
      </c>
      <c r="J167" s="38">
        <v>-0.2</v>
      </c>
      <c r="K167" s="38">
        <v>-0.2</v>
      </c>
      <c r="L167" s="38">
        <v>-0.2</v>
      </c>
      <c r="M167" s="38">
        <v>-0.2</v>
      </c>
      <c r="N167" s="38">
        <v>-0.2</v>
      </c>
    </row>
    <row r="168" spans="1:14" ht="15.75">
      <c r="A168" s="22" t="s">
        <v>85</v>
      </c>
      <c r="B168" s="23"/>
      <c r="C168" s="60" t="s">
        <v>19</v>
      </c>
      <c r="D168" s="76">
        <v>0</v>
      </c>
      <c r="E168" s="77">
        <v>-0.025</v>
      </c>
      <c r="F168" s="76">
        <v>-0.05</v>
      </c>
      <c r="G168" s="76">
        <v>-0.075</v>
      </c>
      <c r="H168" s="76">
        <v>-0.1</v>
      </c>
      <c r="I168" s="76">
        <v>-0.1</v>
      </c>
      <c r="J168" s="76">
        <v>-0.1</v>
      </c>
      <c r="K168" s="76">
        <v>-0.075</v>
      </c>
      <c r="L168" s="76">
        <v>-0.05</v>
      </c>
      <c r="M168" s="76">
        <v>-0.025</v>
      </c>
      <c r="N168" s="76">
        <v>0</v>
      </c>
    </row>
    <row r="169" spans="1:14" ht="14.25">
      <c r="A169" s="22" t="s">
        <v>84</v>
      </c>
      <c r="B169" s="23"/>
      <c r="C169" s="59" t="s">
        <v>33</v>
      </c>
      <c r="D169" s="76">
        <v>0</v>
      </c>
      <c r="E169" s="76">
        <v>0.05</v>
      </c>
      <c r="F169" s="76">
        <v>0.1</v>
      </c>
      <c r="G169" s="76">
        <v>0.15</v>
      </c>
      <c r="H169" s="76">
        <v>0.2</v>
      </c>
      <c r="I169" s="76">
        <v>0.2</v>
      </c>
      <c r="J169" s="76">
        <v>0.2</v>
      </c>
      <c r="K169" s="76">
        <v>0.15</v>
      </c>
      <c r="L169" s="76">
        <v>0.1</v>
      </c>
      <c r="M169" s="76">
        <v>0.05</v>
      </c>
      <c r="N169" s="76">
        <v>0</v>
      </c>
    </row>
    <row r="170" spans="1:14" ht="12.75">
      <c r="A170" s="22" t="s">
        <v>74</v>
      </c>
      <c r="B170" s="23"/>
      <c r="C170" s="59" t="s">
        <v>19</v>
      </c>
      <c r="D170" s="38">
        <v>0.6</v>
      </c>
      <c r="E170" s="38">
        <v>0.6</v>
      </c>
      <c r="F170" s="38">
        <v>0.6</v>
      </c>
      <c r="G170" s="38">
        <v>0.6</v>
      </c>
      <c r="H170" s="38">
        <v>0.6</v>
      </c>
      <c r="I170" s="38">
        <v>0.6</v>
      </c>
      <c r="J170" s="38">
        <v>0.6</v>
      </c>
      <c r="K170" s="38">
        <v>0.6</v>
      </c>
      <c r="L170" s="38">
        <v>0.6</v>
      </c>
      <c r="M170" s="38">
        <v>0.6</v>
      </c>
      <c r="N170" s="38">
        <v>0.6</v>
      </c>
    </row>
    <row r="171" spans="1:14" ht="12.75">
      <c r="A171" s="22" t="s">
        <v>75</v>
      </c>
      <c r="B171" s="23"/>
      <c r="C171" s="60" t="s">
        <v>19</v>
      </c>
      <c r="D171" s="38">
        <v>0.2</v>
      </c>
      <c r="E171" s="38">
        <v>0.2</v>
      </c>
      <c r="F171" s="38">
        <v>0.2</v>
      </c>
      <c r="G171" s="38">
        <v>0.2</v>
      </c>
      <c r="H171" s="38">
        <v>0.2</v>
      </c>
      <c r="I171" s="38">
        <v>0.2</v>
      </c>
      <c r="J171" s="38">
        <v>0.2</v>
      </c>
      <c r="K171" s="38">
        <v>0.2</v>
      </c>
      <c r="L171" s="38">
        <v>0.2</v>
      </c>
      <c r="M171" s="38">
        <v>0.2</v>
      </c>
      <c r="N171" s="38">
        <v>0.2</v>
      </c>
    </row>
    <row r="172" spans="1:14" ht="15.75">
      <c r="A172" s="22" t="s">
        <v>86</v>
      </c>
      <c r="B172" s="23"/>
      <c r="C172" s="60" t="s">
        <v>19</v>
      </c>
      <c r="D172" s="76">
        <v>0</v>
      </c>
      <c r="E172" s="76">
        <v>0.05</v>
      </c>
      <c r="F172" s="76">
        <v>0.1</v>
      </c>
      <c r="G172" s="76">
        <v>0.15</v>
      </c>
      <c r="H172" s="76">
        <v>0.2</v>
      </c>
      <c r="I172" s="76">
        <v>0.2</v>
      </c>
      <c r="J172" s="76">
        <v>0.2</v>
      </c>
      <c r="K172" s="76">
        <v>0.15</v>
      </c>
      <c r="L172" s="76">
        <v>0.1</v>
      </c>
      <c r="M172" s="76">
        <v>0.05</v>
      </c>
      <c r="N172" s="76">
        <v>0</v>
      </c>
    </row>
    <row r="174" spans="1:14" ht="15.75">
      <c r="A174" s="24" t="s">
        <v>87</v>
      </c>
      <c r="B174" s="25"/>
      <c r="C174" s="26"/>
      <c r="D174" s="20" t="s">
        <v>88</v>
      </c>
      <c r="E174" s="44">
        <f>(J164-I164)*(0.5*D165+E165+F165+G165+H165+I165+J165+K165+L165+M165+0.5*N165)</f>
        <v>-0.6</v>
      </c>
      <c r="F174" s="70" t="s">
        <v>34</v>
      </c>
      <c r="G174" s="34"/>
      <c r="H174" s="24" t="s">
        <v>98</v>
      </c>
      <c r="I174" s="25"/>
      <c r="J174" s="26"/>
      <c r="K174" s="20" t="s">
        <v>101</v>
      </c>
      <c r="L174" s="44">
        <f>(J164-I164)*(0.5*D169+E169+F169+G169+H169+I169+J169+K169+L169+M169+0.5*N169)</f>
        <v>1.2</v>
      </c>
      <c r="M174" s="70" t="s">
        <v>34</v>
      </c>
      <c r="N174" s="34"/>
    </row>
    <row r="175" spans="1:14" ht="15.75">
      <c r="A175" s="47" t="s">
        <v>89</v>
      </c>
      <c r="B175" s="48"/>
      <c r="C175" s="49"/>
      <c r="D175" s="20" t="s">
        <v>90</v>
      </c>
      <c r="E175" s="44">
        <f>(J164-I164)*(J164-I164)*((-2.5)*D165+(-4)*E165+(-3)*F165+(-2)*G165-H165+J165+2*K165+3*L165+4*M165+2.5*N165)</f>
        <v>-2.7755575615628914E-17</v>
      </c>
      <c r="F175" s="70" t="s">
        <v>91</v>
      </c>
      <c r="G175" s="34"/>
      <c r="H175" s="47" t="s">
        <v>99</v>
      </c>
      <c r="I175" s="48"/>
      <c r="J175" s="49"/>
      <c r="K175" s="20" t="s">
        <v>102</v>
      </c>
      <c r="L175" s="44">
        <f>(J164-I164)*(J164-I164)*((-2.5)*D169+(-4)*E169+(-3)*F169+(-2)*G169-H169+J169+2*K169+3*L169+4*M169+2.5*N169)</f>
        <v>5.551115123125783E-17</v>
      </c>
      <c r="M175" s="70" t="s">
        <v>91</v>
      </c>
      <c r="N175" s="34"/>
    </row>
    <row r="176" spans="1:14" ht="15.75">
      <c r="A176" s="63"/>
      <c r="B176" s="64"/>
      <c r="C176" s="65"/>
      <c r="D176" s="20" t="s">
        <v>92</v>
      </c>
      <c r="E176" s="44">
        <f>(J164-I164)*(0.5*D165*D167+E165*E167+F165*F167+G165*G167+H165*H167+I165*I167+J165*J167+K165*K167+L165*L167+M165*M167+0.5*N165*N167)</f>
        <v>0.12000000000000002</v>
      </c>
      <c r="F176" s="70" t="s">
        <v>35</v>
      </c>
      <c r="G176" s="34"/>
      <c r="H176" s="63"/>
      <c r="I176" s="64"/>
      <c r="J176" s="65"/>
      <c r="K176" s="20" t="s">
        <v>103</v>
      </c>
      <c r="L176" s="44">
        <f>(J164-I164)*(0.5*D169*D171+E169*E171+F169*F171+G169*G171+H169*H171+I169*I171+J169*J171+K169*K171+L169*L171+M169*M171+0.5*N169*N171)</f>
        <v>0.24000000000000005</v>
      </c>
      <c r="M176" s="70" t="s">
        <v>35</v>
      </c>
      <c r="N176" s="34"/>
    </row>
    <row r="177" spans="1:14" ht="15.75">
      <c r="A177" s="66"/>
      <c r="B177" s="67"/>
      <c r="C177" s="68"/>
      <c r="D177" s="20" t="s">
        <v>93</v>
      </c>
      <c r="E177" s="44">
        <f>(J164-I164)*(0.5*D165*D166+E165*E166+F165*F166+G165*G166+H165*H166+I165*I166+J165*J166+K165*K166+L165*L166+M165*M166+0.5*N165*N166)</f>
        <v>-0.12000000000000002</v>
      </c>
      <c r="F177" s="70" t="s">
        <v>35</v>
      </c>
      <c r="G177" s="34"/>
      <c r="H177" s="66"/>
      <c r="I177" s="67"/>
      <c r="J177" s="68"/>
      <c r="K177" s="20" t="s">
        <v>104</v>
      </c>
      <c r="L177" s="44">
        <f>(J164-I164)*(0.5*D169*D170+E169*E170+F169*F170+G169*G170+H169*H170+I169*I170+J169*J170+K169*K170+L169*L170+M169*M170+0.5*N169*N170)</f>
        <v>0.72</v>
      </c>
      <c r="M177" s="70" t="s">
        <v>35</v>
      </c>
      <c r="N177" s="34"/>
    </row>
    <row r="178" spans="1:14" ht="15.75">
      <c r="A178" s="63" t="s">
        <v>94</v>
      </c>
      <c r="B178" s="64"/>
      <c r="C178" s="49"/>
      <c r="D178" s="20" t="s">
        <v>95</v>
      </c>
      <c r="E178" s="44">
        <f>E175/E174</f>
        <v>4.625929269271486E-17</v>
      </c>
      <c r="F178" s="70" t="s">
        <v>19</v>
      </c>
      <c r="G178" s="34"/>
      <c r="H178" s="63" t="s">
        <v>100</v>
      </c>
      <c r="I178" s="64"/>
      <c r="J178" s="49"/>
      <c r="K178" s="20" t="s">
        <v>105</v>
      </c>
      <c r="L178" s="44">
        <f>L175/L174</f>
        <v>4.625929269271486E-17</v>
      </c>
      <c r="M178" s="70" t="s">
        <v>19</v>
      </c>
      <c r="N178" s="34"/>
    </row>
    <row r="179" spans="1:14" ht="15.75">
      <c r="A179" s="63"/>
      <c r="B179" s="64"/>
      <c r="C179" s="65"/>
      <c r="D179" s="20" t="s">
        <v>96</v>
      </c>
      <c r="E179" s="44">
        <f>E176/E174</f>
        <v>-0.20000000000000004</v>
      </c>
      <c r="F179" s="70" t="s">
        <v>19</v>
      </c>
      <c r="G179" s="34"/>
      <c r="H179" s="63"/>
      <c r="I179" s="64"/>
      <c r="J179" s="65"/>
      <c r="K179" s="20" t="s">
        <v>106</v>
      </c>
      <c r="L179" s="44">
        <f>L176/L174</f>
        <v>0.20000000000000004</v>
      </c>
      <c r="M179" s="70" t="s">
        <v>19</v>
      </c>
      <c r="N179" s="34"/>
    </row>
    <row r="180" spans="1:14" ht="15.75">
      <c r="A180" s="66"/>
      <c r="B180" s="67"/>
      <c r="C180" s="68"/>
      <c r="D180" s="69" t="s">
        <v>97</v>
      </c>
      <c r="E180" s="44">
        <f>E177/E174</f>
        <v>0.20000000000000004</v>
      </c>
      <c r="F180" s="70" t="s">
        <v>19</v>
      </c>
      <c r="G180" s="34"/>
      <c r="H180" s="66"/>
      <c r="I180" s="67"/>
      <c r="J180" s="68"/>
      <c r="K180" s="69" t="s">
        <v>107</v>
      </c>
      <c r="L180" s="44">
        <f>L177/L174</f>
        <v>0.6</v>
      </c>
      <c r="M180" s="70" t="s">
        <v>19</v>
      </c>
      <c r="N180" s="34"/>
    </row>
    <row r="181" spans="1:13" ht="15.75">
      <c r="A181" s="22" t="s">
        <v>52</v>
      </c>
      <c r="B181" s="23"/>
      <c r="C181" s="21"/>
      <c r="D181" s="71" t="s">
        <v>108</v>
      </c>
      <c r="E181" s="44">
        <f>(0.5*(D172-D168)+E172-E168+F172-F168+G172-G168+H172-H168+I172-I168+J172-J168+K172-K168+L172-L168+M172-M168+0.5*(N172-N168))*(J164-I164)</f>
        <v>1.8</v>
      </c>
      <c r="F181" s="59" t="s">
        <v>33</v>
      </c>
      <c r="H181" s="22" t="s">
        <v>53</v>
      </c>
      <c r="I181" s="23"/>
      <c r="J181" s="21"/>
      <c r="K181" s="71" t="s">
        <v>114</v>
      </c>
      <c r="L181" s="23">
        <f>0.5*(L174+E174)/E181</f>
        <v>0.16666666666666666</v>
      </c>
      <c r="M181" s="59" t="s">
        <v>19</v>
      </c>
    </row>
    <row r="182" spans="1:13" ht="15.75">
      <c r="A182" s="27" t="s">
        <v>111</v>
      </c>
      <c r="B182" s="28"/>
      <c r="C182" s="29"/>
      <c r="D182" s="71" t="s">
        <v>112</v>
      </c>
      <c r="E182" s="44">
        <f>(J164-I164)*(J164-I164)*((-2.5)*(D172-D168)+(-4)*(E172-E168)+(-3)*(F172-F168)+(-2)*(G172-G168)-(H172-H168)+J172-J168+2*(K172-K168)+3*(L172-L168)+4*(M172-M168)+2.5*(N172-N168))</f>
        <v>-1.1102230246251565E-16</v>
      </c>
      <c r="F182" s="60" t="s">
        <v>19</v>
      </c>
      <c r="H182" s="27" t="s">
        <v>115</v>
      </c>
      <c r="I182" s="28"/>
      <c r="J182" s="29"/>
      <c r="K182" s="71" t="s">
        <v>136</v>
      </c>
      <c r="L182" s="23">
        <f>L181*COS((C131*PI()/180))/SIN((C163*PI()/180)-(C131*PI()/180))</f>
        <v>0.3219752754296893</v>
      </c>
      <c r="M182" s="59">
        <f>M150+L182</f>
        <v>2.6009536313038994</v>
      </c>
    </row>
    <row r="183" spans="1:13" ht="15.75">
      <c r="A183" s="30"/>
      <c r="B183" s="31"/>
      <c r="C183" s="32"/>
      <c r="D183" s="71" t="s">
        <v>113</v>
      </c>
      <c r="E183" s="44">
        <f>0.5*(J164-I164)*(0.5*(D172-D168)*(D172+B132)+(E172-E168)*(E172+E168)+(F172-F168)*(F172+F168)+(G172-G168)*(G172+G168)+(H172-H168)*(H172+H168)+(I172-I168)*(I172+I168)+(J172-J168)*(J172+J168)+(K172-K168)*(K172+K168)+(L172-L168)*(L172+L168)+(M172-M168)*(M172+M168)+0.5*(N172-N168)*(N172+N168))</f>
        <v>0.07125000000000001</v>
      </c>
      <c r="F183" s="60" t="s">
        <v>19</v>
      </c>
      <c r="H183" s="30"/>
      <c r="I183" s="31"/>
      <c r="J183" s="32"/>
      <c r="K183" s="71" t="s">
        <v>137</v>
      </c>
      <c r="L183" s="23">
        <f>L181*SIN((C131*PI()/180))/SIN((C163*PI()/180)-(C131*PI()/180))</f>
        <v>0.557677535825205</v>
      </c>
      <c r="M183" s="59">
        <f>M151+L183</f>
        <v>1.5016612791830406</v>
      </c>
    </row>
    <row r="184" spans="1:13" ht="15.75">
      <c r="A184" s="27" t="s">
        <v>127</v>
      </c>
      <c r="B184" s="28"/>
      <c r="C184" s="29"/>
      <c r="D184" s="71" t="s">
        <v>109</v>
      </c>
      <c r="E184" s="44">
        <f>E182/E181</f>
        <v>-6.167905692361981E-17</v>
      </c>
      <c r="F184" s="59" t="s">
        <v>19</v>
      </c>
      <c r="H184" s="27" t="s">
        <v>118</v>
      </c>
      <c r="I184" s="28"/>
      <c r="J184" s="29"/>
      <c r="K184" s="71" t="s">
        <v>116</v>
      </c>
      <c r="L184" s="75">
        <f>E184</f>
        <v>-6.167905692361981E-17</v>
      </c>
      <c r="M184" s="59" t="s">
        <v>19</v>
      </c>
    </row>
    <row r="185" spans="1:13" ht="15.75">
      <c r="A185" s="30"/>
      <c r="B185" s="31"/>
      <c r="C185" s="32"/>
      <c r="D185" s="71" t="s">
        <v>110</v>
      </c>
      <c r="E185" s="44">
        <f>E183/E181</f>
        <v>0.03958333333333334</v>
      </c>
      <c r="F185" s="59" t="s">
        <v>19</v>
      </c>
      <c r="H185" s="34"/>
      <c r="I185" s="9"/>
      <c r="J185" s="35"/>
      <c r="K185" s="71" t="s">
        <v>117</v>
      </c>
      <c r="L185" s="23">
        <f>M150+E185*COS(C163*PI()/180)+0.5*L181*SIN(C163*PI()/180)</f>
        <v>2.3697170952669406</v>
      </c>
      <c r="M185" s="59" t="s">
        <v>19</v>
      </c>
    </row>
    <row r="186" spans="8:13" ht="15.75">
      <c r="H186" s="30"/>
      <c r="I186" s="31"/>
      <c r="J186" s="32"/>
      <c r="K186" s="71" t="s">
        <v>245</v>
      </c>
      <c r="L186" s="23">
        <f>0.462+M151+E185*SIN(C163*PI()/180)-0.5*L181*COS(C163*PI()/180)</f>
        <v>1.4226500535565678</v>
      </c>
      <c r="M186" s="59" t="s">
        <v>19</v>
      </c>
    </row>
    <row r="187" spans="4:10" ht="15.75">
      <c r="D187" s="27" t="s">
        <v>26</v>
      </c>
      <c r="E187" s="28"/>
      <c r="F187" s="29"/>
      <c r="G187" s="20" t="s">
        <v>119</v>
      </c>
      <c r="H187" s="44">
        <f>E6*H158+L174*L178-2*E181*L181*L184+E174*E178</f>
        <v>3.23815048849004E-16</v>
      </c>
      <c r="I187" s="23" t="s">
        <v>56</v>
      </c>
      <c r="J187" s="21"/>
    </row>
    <row r="188" spans="4:13" ht="15.75">
      <c r="D188" s="34"/>
      <c r="E188" s="9"/>
      <c r="F188" s="35"/>
      <c r="G188" s="20" t="s">
        <v>120</v>
      </c>
      <c r="H188" s="44">
        <f>E6*H159+L174*L179-2*E181*L181*L185+E174*E179</f>
        <v>-2.0507331209870463</v>
      </c>
      <c r="I188" s="23" t="s">
        <v>37</v>
      </c>
      <c r="J188" s="21"/>
      <c r="K188" s="117" t="s">
        <v>248</v>
      </c>
      <c r="M188" s="54"/>
    </row>
    <row r="189" spans="4:13" ht="15.75">
      <c r="D189" s="30"/>
      <c r="E189" s="31"/>
      <c r="F189" s="32"/>
      <c r="G189" s="20" t="s">
        <v>121</v>
      </c>
      <c r="H189" s="44">
        <f>E6*H160+L174*L180-2*E181*L181*L186+E174*E180</f>
        <v>10.74099386145701</v>
      </c>
      <c r="I189" s="23" t="s">
        <v>36</v>
      </c>
      <c r="J189" s="21"/>
      <c r="M189" s="54"/>
    </row>
    <row r="190" spans="4:13" ht="12.75">
      <c r="D190" s="27" t="s">
        <v>122</v>
      </c>
      <c r="E190" s="28"/>
      <c r="F190" s="29"/>
      <c r="G190" s="20" t="s">
        <v>124</v>
      </c>
      <c r="H190" s="44">
        <f>H187/E6</f>
        <v>3.23815048849004E-17</v>
      </c>
      <c r="I190" s="33" t="s">
        <v>55</v>
      </c>
      <c r="J190" s="21"/>
      <c r="M190" s="54"/>
    </row>
    <row r="191" spans="4:10" ht="12.75">
      <c r="D191" s="34"/>
      <c r="E191" s="9"/>
      <c r="F191" s="35"/>
      <c r="G191" s="20" t="s">
        <v>125</v>
      </c>
      <c r="H191" s="44">
        <f>H188/E6</f>
        <v>-0.20507331209870464</v>
      </c>
      <c r="I191" s="33" t="s">
        <v>32</v>
      </c>
      <c r="J191" s="21"/>
    </row>
    <row r="192" spans="4:10" ht="12.75">
      <c r="D192" s="30"/>
      <c r="E192" s="31"/>
      <c r="F192" s="32"/>
      <c r="G192" s="72" t="s">
        <v>123</v>
      </c>
      <c r="H192" s="44">
        <f>H189/E6</f>
        <v>1.074099386145701</v>
      </c>
      <c r="I192" s="33" t="s">
        <v>24</v>
      </c>
      <c r="J192" s="21"/>
    </row>
    <row r="193" spans="4:10" ht="12.75">
      <c r="D193" s="22" t="s">
        <v>59</v>
      </c>
      <c r="E193" s="23"/>
      <c r="F193" s="21"/>
      <c r="G193" s="72" t="s">
        <v>126</v>
      </c>
      <c r="H193" s="44">
        <f>(H191+(H192-E10)*TAN(C163*PI()/180))*COS(C163*PI()/180)-M8*SIN(C163*PI()/180)</f>
        <v>0.018497631976901133</v>
      </c>
      <c r="I193" s="33" t="s">
        <v>19</v>
      </c>
      <c r="J193" s="21"/>
    </row>
    <row r="195" spans="1:14" ht="12.75">
      <c r="A195" s="51" t="s">
        <v>51</v>
      </c>
      <c r="B195" s="50"/>
      <c r="C195" s="52">
        <v>90</v>
      </c>
      <c r="D195" s="12">
        <v>0</v>
      </c>
      <c r="E195" s="46">
        <v>1</v>
      </c>
      <c r="F195" s="12">
        <v>2</v>
      </c>
      <c r="G195" s="12">
        <v>3</v>
      </c>
      <c r="H195" s="12">
        <v>4</v>
      </c>
      <c r="I195" s="12">
        <v>5</v>
      </c>
      <c r="J195" s="12">
        <v>6</v>
      </c>
      <c r="K195" s="12">
        <v>7</v>
      </c>
      <c r="L195" s="12">
        <v>8</v>
      </c>
      <c r="M195" s="12">
        <v>9</v>
      </c>
      <c r="N195" s="12">
        <v>10</v>
      </c>
    </row>
    <row r="196" spans="1:14" ht="12.75">
      <c r="A196" s="22" t="s">
        <v>23</v>
      </c>
      <c r="B196" s="23"/>
      <c r="C196" s="59" t="s">
        <v>19</v>
      </c>
      <c r="D196" s="106">
        <v>-1</v>
      </c>
      <c r="E196" s="106">
        <v>-1</v>
      </c>
      <c r="F196" s="106">
        <v>-1</v>
      </c>
      <c r="G196" s="106">
        <v>-1</v>
      </c>
      <c r="H196" s="106">
        <v>-1</v>
      </c>
      <c r="I196" s="5">
        <v>0</v>
      </c>
      <c r="J196" s="4">
        <v>1</v>
      </c>
      <c r="K196" s="4">
        <v>1</v>
      </c>
      <c r="L196" s="4">
        <v>1</v>
      </c>
      <c r="M196" s="4">
        <v>1</v>
      </c>
      <c r="N196" s="4">
        <v>1</v>
      </c>
    </row>
    <row r="197" spans="1:14" ht="14.25">
      <c r="A197" s="22" t="s">
        <v>83</v>
      </c>
      <c r="B197" s="23"/>
      <c r="C197" s="59" t="s">
        <v>33</v>
      </c>
      <c r="D197" s="76">
        <v>0</v>
      </c>
      <c r="E197" s="77">
        <v>-0.025</v>
      </c>
      <c r="F197" s="76">
        <v>-0.05</v>
      </c>
      <c r="G197" s="76">
        <v>-0.075</v>
      </c>
      <c r="H197" s="76">
        <v>-0.1</v>
      </c>
      <c r="I197" s="76">
        <v>-0.1</v>
      </c>
      <c r="J197" s="76">
        <v>-0.1</v>
      </c>
      <c r="K197" s="76">
        <v>-0.075</v>
      </c>
      <c r="L197" s="76">
        <v>-0.05</v>
      </c>
      <c r="M197" s="76">
        <v>-0.025</v>
      </c>
      <c r="N197" s="76">
        <v>0</v>
      </c>
    </row>
    <row r="198" spans="1:14" ht="12.75">
      <c r="A198" s="22" t="s">
        <v>74</v>
      </c>
      <c r="B198" s="23"/>
      <c r="C198" s="59" t="s">
        <v>19</v>
      </c>
      <c r="D198" s="38">
        <v>0.2</v>
      </c>
      <c r="E198" s="38">
        <v>0.2</v>
      </c>
      <c r="F198" s="38">
        <v>0.2</v>
      </c>
      <c r="G198" s="38">
        <v>0.2</v>
      </c>
      <c r="H198" s="38">
        <v>0.2</v>
      </c>
      <c r="I198" s="38">
        <v>0.2</v>
      </c>
      <c r="J198" s="38">
        <v>0.2</v>
      </c>
      <c r="K198" s="38">
        <v>0.2</v>
      </c>
      <c r="L198" s="38">
        <v>0.2</v>
      </c>
      <c r="M198" s="38">
        <v>0.2</v>
      </c>
      <c r="N198" s="38">
        <v>0.2</v>
      </c>
    </row>
    <row r="199" spans="1:14" ht="12.75">
      <c r="A199" s="27" t="s">
        <v>75</v>
      </c>
      <c r="B199" s="9"/>
      <c r="C199" s="62" t="s">
        <v>19</v>
      </c>
      <c r="D199" s="38">
        <v>-0.2</v>
      </c>
      <c r="E199" s="38">
        <v>-0.2</v>
      </c>
      <c r="F199" s="38">
        <v>-0.2</v>
      </c>
      <c r="G199" s="38">
        <v>-0.2</v>
      </c>
      <c r="H199" s="38">
        <v>-0.2</v>
      </c>
      <c r="I199" s="38">
        <v>-0.2</v>
      </c>
      <c r="J199" s="38">
        <v>-0.2</v>
      </c>
      <c r="K199" s="38">
        <v>-0.2</v>
      </c>
      <c r="L199" s="38">
        <v>-0.2</v>
      </c>
      <c r="M199" s="38">
        <v>-0.2</v>
      </c>
      <c r="N199" s="38">
        <v>-0.2</v>
      </c>
    </row>
    <row r="200" spans="1:14" ht="15.75">
      <c r="A200" s="22" t="s">
        <v>85</v>
      </c>
      <c r="B200" s="23"/>
      <c r="C200" s="60" t="s">
        <v>19</v>
      </c>
      <c r="D200" s="76">
        <v>0</v>
      </c>
      <c r="E200" s="77">
        <v>-0.025</v>
      </c>
      <c r="F200" s="76">
        <v>-0.05</v>
      </c>
      <c r="G200" s="76">
        <v>-0.075</v>
      </c>
      <c r="H200" s="76">
        <v>-0.1</v>
      </c>
      <c r="I200" s="76">
        <v>-0.1</v>
      </c>
      <c r="J200" s="76">
        <v>-0.1</v>
      </c>
      <c r="K200" s="76">
        <v>-0.075</v>
      </c>
      <c r="L200" s="76">
        <v>-0.05</v>
      </c>
      <c r="M200" s="76">
        <v>-0.025</v>
      </c>
      <c r="N200" s="76">
        <v>0</v>
      </c>
    </row>
    <row r="201" spans="1:14" ht="14.25">
      <c r="A201" s="22" t="s">
        <v>84</v>
      </c>
      <c r="B201" s="23"/>
      <c r="C201" s="59" t="s">
        <v>33</v>
      </c>
      <c r="D201" s="76">
        <v>0</v>
      </c>
      <c r="E201" s="76">
        <v>0.05</v>
      </c>
      <c r="F201" s="76">
        <v>0.1</v>
      </c>
      <c r="G201" s="76">
        <v>0.15</v>
      </c>
      <c r="H201" s="76">
        <v>0.2</v>
      </c>
      <c r="I201" s="76">
        <v>0.2</v>
      </c>
      <c r="J201" s="76">
        <v>0.2</v>
      </c>
      <c r="K201" s="76">
        <v>0.15</v>
      </c>
      <c r="L201" s="76">
        <v>0.1</v>
      </c>
      <c r="M201" s="76">
        <v>0.05</v>
      </c>
      <c r="N201" s="76">
        <v>0</v>
      </c>
    </row>
    <row r="202" spans="1:14" ht="12.75">
      <c r="A202" s="22" t="s">
        <v>74</v>
      </c>
      <c r="B202" s="23"/>
      <c r="C202" s="59" t="s">
        <v>19</v>
      </c>
      <c r="D202" s="38">
        <v>0.6</v>
      </c>
      <c r="E202" s="38">
        <v>0.6</v>
      </c>
      <c r="F202" s="38">
        <v>0.6</v>
      </c>
      <c r="G202" s="38">
        <v>0.6</v>
      </c>
      <c r="H202" s="38">
        <v>0.6</v>
      </c>
      <c r="I202" s="38">
        <v>0.6</v>
      </c>
      <c r="J202" s="38">
        <v>0.6</v>
      </c>
      <c r="K202" s="38">
        <v>0.6</v>
      </c>
      <c r="L202" s="38">
        <v>0.6</v>
      </c>
      <c r="M202" s="38">
        <v>0.6</v>
      </c>
      <c r="N202" s="38">
        <v>0.6</v>
      </c>
    </row>
    <row r="203" spans="1:14" ht="12.75">
      <c r="A203" s="22" t="s">
        <v>75</v>
      </c>
      <c r="B203" s="23"/>
      <c r="C203" s="60" t="s">
        <v>19</v>
      </c>
      <c r="D203" s="38">
        <v>0.2</v>
      </c>
      <c r="E203" s="38">
        <v>0.2</v>
      </c>
      <c r="F203" s="38">
        <v>0.2</v>
      </c>
      <c r="G203" s="38">
        <v>0.2</v>
      </c>
      <c r="H203" s="38">
        <v>0.2</v>
      </c>
      <c r="I203" s="38">
        <v>0.2</v>
      </c>
      <c r="J203" s="38">
        <v>0.2</v>
      </c>
      <c r="K203" s="38">
        <v>0.2</v>
      </c>
      <c r="L203" s="38">
        <v>0.2</v>
      </c>
      <c r="M203" s="38">
        <v>0.2</v>
      </c>
      <c r="N203" s="38">
        <v>0.2</v>
      </c>
    </row>
    <row r="204" spans="1:14" ht="15.75">
      <c r="A204" s="22" t="s">
        <v>86</v>
      </c>
      <c r="B204" s="23"/>
      <c r="C204" s="60" t="s">
        <v>19</v>
      </c>
      <c r="D204" s="76">
        <v>0</v>
      </c>
      <c r="E204" s="76">
        <v>0.05</v>
      </c>
      <c r="F204" s="76">
        <v>0.1</v>
      </c>
      <c r="G204" s="76">
        <v>0.15</v>
      </c>
      <c r="H204" s="76">
        <v>0.2</v>
      </c>
      <c r="I204" s="76">
        <v>0.2</v>
      </c>
      <c r="J204" s="76">
        <v>0.2</v>
      </c>
      <c r="K204" s="76">
        <v>0.15</v>
      </c>
      <c r="L204" s="76">
        <v>0.1</v>
      </c>
      <c r="M204" s="76">
        <v>0.05</v>
      </c>
      <c r="N204" s="76">
        <v>0</v>
      </c>
    </row>
    <row r="206" spans="1:14" ht="15.75">
      <c r="A206" s="24" t="s">
        <v>87</v>
      </c>
      <c r="B206" s="25"/>
      <c r="C206" s="26"/>
      <c r="D206" s="20" t="s">
        <v>88</v>
      </c>
      <c r="E206" s="44">
        <f>(J196-I196)*(0.5*D197+E197+F197+G197+H197+I197+J197+K197+L197+M197+0.5*N197)</f>
        <v>-0.6</v>
      </c>
      <c r="F206" s="70" t="s">
        <v>34</v>
      </c>
      <c r="G206" s="34"/>
      <c r="H206" s="24" t="s">
        <v>98</v>
      </c>
      <c r="I206" s="25"/>
      <c r="J206" s="26"/>
      <c r="K206" s="20" t="s">
        <v>101</v>
      </c>
      <c r="L206" s="44">
        <f>(J196-I196)*(0.5*D201+E201+F201+G201+H201+I201+J201+K201+L201+M201+0.5*N201)</f>
        <v>1.2</v>
      </c>
      <c r="M206" s="70" t="s">
        <v>34</v>
      </c>
      <c r="N206" s="34"/>
    </row>
    <row r="207" spans="1:14" ht="15.75">
      <c r="A207" s="47" t="s">
        <v>89</v>
      </c>
      <c r="B207" s="48"/>
      <c r="C207" s="49"/>
      <c r="D207" s="20" t="s">
        <v>90</v>
      </c>
      <c r="E207" s="44">
        <f>(J196-I196)*(J196-I196)*((-2.5)*D197+(-4)*E197+(-3)*F197+(-2)*G197-H197+J197+2*K197+3*L197+4*M197+2.5*N197)</f>
        <v>-2.7755575615628914E-17</v>
      </c>
      <c r="F207" s="70" t="s">
        <v>91</v>
      </c>
      <c r="G207" s="34"/>
      <c r="H207" s="47" t="s">
        <v>99</v>
      </c>
      <c r="I207" s="48"/>
      <c r="J207" s="49"/>
      <c r="K207" s="20" t="s">
        <v>102</v>
      </c>
      <c r="L207" s="44">
        <f>(J196-I196)*(J196-I196)*((-2.5)*D201+(-4)*E201+(-3)*F201+(-2)*G201-H201+J201+2*K201+3*L201+4*M201+2.5*N201)</f>
        <v>5.551115123125783E-17</v>
      </c>
      <c r="M207" s="70" t="s">
        <v>91</v>
      </c>
      <c r="N207" s="34"/>
    </row>
    <row r="208" spans="1:14" ht="15.75">
      <c r="A208" s="63"/>
      <c r="B208" s="64"/>
      <c r="C208" s="65"/>
      <c r="D208" s="20" t="s">
        <v>92</v>
      </c>
      <c r="E208" s="44">
        <f>(J196-I196)*(0.5*D197*D199+E197*E199+F197*F199+G197*G199+H197*H199+I197*I199+J197*J199+K197*K199+L197*L199+M197*M199+0.5*N197*N199)</f>
        <v>0.12000000000000002</v>
      </c>
      <c r="F208" s="70" t="s">
        <v>35</v>
      </c>
      <c r="G208" s="34"/>
      <c r="H208" s="63"/>
      <c r="I208" s="64"/>
      <c r="J208" s="65"/>
      <c r="K208" s="20" t="s">
        <v>103</v>
      </c>
      <c r="L208" s="44">
        <f>(J196-I196)*(0.5*D201*D203+E201*E203+F201*F203+G201*G203+H201*H203+I201*I203+J201*J203+K201*K203+L201*L203+M201*M203+0.5*N201*N203)</f>
        <v>0.24000000000000005</v>
      </c>
      <c r="M208" s="70" t="s">
        <v>35</v>
      </c>
      <c r="N208" s="34"/>
    </row>
    <row r="209" spans="1:14" ht="15.75">
      <c r="A209" s="66"/>
      <c r="B209" s="67"/>
      <c r="C209" s="68"/>
      <c r="D209" s="20" t="s">
        <v>93</v>
      </c>
      <c r="E209" s="44">
        <f>(J196-I196)*(0.5*D197*D198+E197*E198+F197*F198+G197*G198+H197*H198+I197*I198+J197*J198+K197*K198+L197*L198+M197*M198+0.5*N197*N198)</f>
        <v>-0.12000000000000002</v>
      </c>
      <c r="F209" s="70" t="s">
        <v>35</v>
      </c>
      <c r="G209" s="34"/>
      <c r="H209" s="66"/>
      <c r="I209" s="67"/>
      <c r="J209" s="68"/>
      <c r="K209" s="20" t="s">
        <v>104</v>
      </c>
      <c r="L209" s="44">
        <f>(J196-I196)*(0.5*D201*D202+E201*E202+F201*F202+G201*G202+H201*H202+I201*I202+J201*J202+K201*K202+L201*L202+M201*M202+0.5*N201*N202)</f>
        <v>0.72</v>
      </c>
      <c r="M209" s="70" t="s">
        <v>35</v>
      </c>
      <c r="N209" s="34"/>
    </row>
    <row r="210" spans="1:14" ht="15.75">
      <c r="A210" s="63" t="s">
        <v>94</v>
      </c>
      <c r="B210" s="64"/>
      <c r="C210" s="49"/>
      <c r="D210" s="20" t="s">
        <v>95</v>
      </c>
      <c r="E210" s="44">
        <f>E207/E206</f>
        <v>4.625929269271486E-17</v>
      </c>
      <c r="F210" s="70" t="s">
        <v>19</v>
      </c>
      <c r="G210" s="34"/>
      <c r="H210" s="63" t="s">
        <v>100</v>
      </c>
      <c r="I210" s="64"/>
      <c r="J210" s="49"/>
      <c r="K210" s="20" t="s">
        <v>105</v>
      </c>
      <c r="L210" s="44">
        <f>L207/L206</f>
        <v>4.625929269271486E-17</v>
      </c>
      <c r="M210" s="70" t="s">
        <v>19</v>
      </c>
      <c r="N210" s="34"/>
    </row>
    <row r="211" spans="1:14" ht="15.75">
      <c r="A211" s="63"/>
      <c r="B211" s="64"/>
      <c r="C211" s="65"/>
      <c r="D211" s="20" t="s">
        <v>96</v>
      </c>
      <c r="E211" s="44">
        <f>E208/E206</f>
        <v>-0.20000000000000004</v>
      </c>
      <c r="F211" s="70" t="s">
        <v>19</v>
      </c>
      <c r="G211" s="34"/>
      <c r="H211" s="63"/>
      <c r="I211" s="64"/>
      <c r="J211" s="65"/>
      <c r="K211" s="20" t="s">
        <v>106</v>
      </c>
      <c r="L211" s="44">
        <f>L208/L206</f>
        <v>0.20000000000000004</v>
      </c>
      <c r="M211" s="70" t="s">
        <v>19</v>
      </c>
      <c r="N211" s="34"/>
    </row>
    <row r="212" spans="1:14" ht="15.75">
      <c r="A212" s="66"/>
      <c r="B212" s="67"/>
      <c r="C212" s="68"/>
      <c r="D212" s="69" t="s">
        <v>97</v>
      </c>
      <c r="E212" s="44">
        <f>E209/E206</f>
        <v>0.20000000000000004</v>
      </c>
      <c r="F212" s="70" t="s">
        <v>19</v>
      </c>
      <c r="G212" s="34"/>
      <c r="H212" s="66"/>
      <c r="I212" s="67"/>
      <c r="J212" s="68"/>
      <c r="K212" s="69" t="s">
        <v>107</v>
      </c>
      <c r="L212" s="44">
        <f>L209/L206</f>
        <v>0.6</v>
      </c>
      <c r="M212" s="70" t="s">
        <v>19</v>
      </c>
      <c r="N212" s="34"/>
    </row>
    <row r="213" spans="1:13" ht="15.75">
      <c r="A213" s="22" t="s">
        <v>52</v>
      </c>
      <c r="B213" s="23"/>
      <c r="C213" s="21"/>
      <c r="D213" s="71" t="s">
        <v>108</v>
      </c>
      <c r="E213" s="44">
        <f>(0.5*(D204-D200)+E204-E200+F204-F200+G204-G200+H204-H200+I204-I200+J204-J200+K204-K200+L204-L200+M204-M200+0.5*(N204-N200))*(J196-I196)</f>
        <v>1.8</v>
      </c>
      <c r="F213" s="59" t="s">
        <v>33</v>
      </c>
      <c r="H213" s="22" t="s">
        <v>53</v>
      </c>
      <c r="I213" s="23"/>
      <c r="J213" s="21"/>
      <c r="K213" s="71" t="s">
        <v>114</v>
      </c>
      <c r="L213" s="23">
        <f>0.5*(L206+E206)/E213</f>
        <v>0.16666666666666666</v>
      </c>
      <c r="M213" s="59" t="s">
        <v>19</v>
      </c>
    </row>
    <row r="214" spans="1:13" ht="15.75">
      <c r="A214" s="27" t="s">
        <v>111</v>
      </c>
      <c r="B214" s="28"/>
      <c r="C214" s="29"/>
      <c r="D214" s="71" t="s">
        <v>112</v>
      </c>
      <c r="E214" s="44">
        <f>(J196-I196)*(J196-I196)*((-2.5)*(D204-D200)+(-4)*(E204-E200)+(-3)*(F204-F200)+(-2)*(G204-G200)-(H204-H200)+J204-J200+2*(K204-K200)+3*(L204-L200)+4*(M204-M200)+2.5*(N204-N200))</f>
        <v>-1.1102230246251565E-16</v>
      </c>
      <c r="F214" s="60" t="s">
        <v>19</v>
      </c>
      <c r="H214" s="27" t="s">
        <v>115</v>
      </c>
      <c r="I214" s="28"/>
      <c r="J214" s="29"/>
      <c r="K214" s="71" t="s">
        <v>138</v>
      </c>
      <c r="L214" s="23">
        <f>L213*COS((C163*PI()/180))/SIN((C195*PI()/180)-(C163*PI()/180))</f>
        <v>0.16666666666666669</v>
      </c>
      <c r="M214" s="59">
        <f>M182+L214</f>
        <v>2.767620297970566</v>
      </c>
    </row>
    <row r="215" spans="1:13" ht="15.75">
      <c r="A215" s="30"/>
      <c r="B215" s="31"/>
      <c r="C215" s="32"/>
      <c r="D215" s="71" t="s">
        <v>113</v>
      </c>
      <c r="E215" s="44">
        <f>0.5*(J196-I196)*(0.5*(D204-D200)*(D204+B164)+(E204-E200)*(E204+E200)+(F204-F200)*(F204+F200)+(G204-G200)*(G204+G200)+(H204-H200)*(H204+H200)+(I204-I200)*(I204+I200)+(J204-J200)*(J204+J200)+(K204-K200)*(K204+K200)+(L204-L200)*(L204+L200)+(M204-M200)*(M204+M200)+0.5*(N204-N200)*(N204+N200))</f>
        <v>0.07125000000000001</v>
      </c>
      <c r="F215" s="60" t="s">
        <v>19</v>
      </c>
      <c r="H215" s="30"/>
      <c r="I215" s="31"/>
      <c r="J215" s="32"/>
      <c r="K215" s="71" t="s">
        <v>139</v>
      </c>
      <c r="L215" s="23">
        <f>L213*SIN((C163*PI()/180))/SIN((C195*PI()/180)-(C163*PI()/180))</f>
        <v>0.6220084679281463</v>
      </c>
      <c r="M215" s="59">
        <f>M183+L215</f>
        <v>2.1236697471111867</v>
      </c>
    </row>
    <row r="216" spans="1:13" ht="15.75">
      <c r="A216" s="27" t="s">
        <v>127</v>
      </c>
      <c r="B216" s="28"/>
      <c r="C216" s="29"/>
      <c r="D216" s="71" t="s">
        <v>109</v>
      </c>
      <c r="E216" s="44">
        <f>E214/E213</f>
        <v>-6.167905692361981E-17</v>
      </c>
      <c r="F216" s="59" t="s">
        <v>19</v>
      </c>
      <c r="H216" s="27" t="s">
        <v>118</v>
      </c>
      <c r="I216" s="28"/>
      <c r="J216" s="29"/>
      <c r="K216" s="71" t="s">
        <v>116</v>
      </c>
      <c r="L216" s="75">
        <f>E216</f>
        <v>-6.167905692361981E-17</v>
      </c>
      <c r="M216" s="59" t="s">
        <v>19</v>
      </c>
    </row>
    <row r="217" spans="1:13" ht="15.75">
      <c r="A217" s="30"/>
      <c r="B217" s="31"/>
      <c r="C217" s="32"/>
      <c r="D217" s="71" t="s">
        <v>110</v>
      </c>
      <c r="E217" s="44">
        <f>E215/E213</f>
        <v>0.03958333333333334</v>
      </c>
      <c r="F217" s="59" t="s">
        <v>19</v>
      </c>
      <c r="H217" s="34"/>
      <c r="I217" s="9"/>
      <c r="J217" s="35"/>
      <c r="K217" s="71" t="s">
        <v>117</v>
      </c>
      <c r="L217" s="23">
        <f>M182+E217*COS(C195*PI()/180)+0.5*L213*SIN(C195*PI()/180)</f>
        <v>2.684286964637233</v>
      </c>
      <c r="M217" s="59" t="s">
        <v>19</v>
      </c>
    </row>
    <row r="218" spans="8:13" ht="15.75">
      <c r="H218" s="30"/>
      <c r="I218" s="31"/>
      <c r="J218" s="32"/>
      <c r="K218" s="71" t="s">
        <v>245</v>
      </c>
      <c r="L218" s="23">
        <f>0.462+M183+E217*SIN(C195*PI()/180)-0.5*L213*COS(C195*PI()/180)</f>
        <v>2.003244612516374</v>
      </c>
      <c r="M218" s="59" t="s">
        <v>19</v>
      </c>
    </row>
    <row r="219" spans="4:10" ht="15.75">
      <c r="D219" s="27" t="s">
        <v>26</v>
      </c>
      <c r="E219" s="28"/>
      <c r="F219" s="29"/>
      <c r="G219" s="20" t="s">
        <v>119</v>
      </c>
      <c r="H219" s="44">
        <f>E6*H190+L206*L210-2*E213*L213*L216+E206*E210</f>
        <v>3.8857805861880484E-16</v>
      </c>
      <c r="I219" s="23" t="s">
        <v>56</v>
      </c>
      <c r="J219" s="21"/>
    </row>
    <row r="220" spans="4:13" ht="15.75">
      <c r="D220" s="34"/>
      <c r="E220" s="9"/>
      <c r="F220" s="35"/>
      <c r="G220" s="20" t="s">
        <v>120</v>
      </c>
      <c r="H220" s="44">
        <f>E6*H191+L206*L211-2*E213*L213*L217+E206*E211</f>
        <v>-3.301305299769386</v>
      </c>
      <c r="I220" s="23" t="s">
        <v>37</v>
      </c>
      <c r="J220" s="21"/>
      <c r="K220" s="117" t="s">
        <v>248</v>
      </c>
      <c r="M220" s="54"/>
    </row>
    <row r="221" spans="4:13" ht="15.75">
      <c r="D221" s="30"/>
      <c r="E221" s="31"/>
      <c r="F221" s="32"/>
      <c r="G221" s="20" t="s">
        <v>121</v>
      </c>
      <c r="H221" s="44">
        <f>E6*H192+L206*L212-2*E213*L213*L218+E206*E212</f>
        <v>10.139047093947188</v>
      </c>
      <c r="I221" s="23" t="s">
        <v>36</v>
      </c>
      <c r="J221" s="21"/>
      <c r="M221" s="54"/>
    </row>
    <row r="222" spans="4:13" ht="12.75">
      <c r="D222" s="27" t="s">
        <v>122</v>
      </c>
      <c r="E222" s="28"/>
      <c r="F222" s="29"/>
      <c r="G222" s="20" t="s">
        <v>124</v>
      </c>
      <c r="H222" s="44">
        <f>H219/E6</f>
        <v>3.885780586188048E-17</v>
      </c>
      <c r="I222" s="33" t="s">
        <v>55</v>
      </c>
      <c r="J222" s="21"/>
      <c r="M222" s="54"/>
    </row>
    <row r="223" spans="4:10" ht="12.75">
      <c r="D223" s="34"/>
      <c r="E223" s="9"/>
      <c r="F223" s="35"/>
      <c r="G223" s="20" t="s">
        <v>125</v>
      </c>
      <c r="H223" s="44">
        <f>H220/E6</f>
        <v>-0.3301305299769386</v>
      </c>
      <c r="I223" s="33" t="s">
        <v>32</v>
      </c>
      <c r="J223" s="21"/>
    </row>
    <row r="224" spans="4:10" ht="12.75">
      <c r="D224" s="30"/>
      <c r="E224" s="31"/>
      <c r="F224" s="32"/>
      <c r="G224" s="72" t="s">
        <v>123</v>
      </c>
      <c r="H224" s="44">
        <f>H221/E6</f>
        <v>1.0139047093947187</v>
      </c>
      <c r="I224" s="33" t="s">
        <v>24</v>
      </c>
      <c r="J224" s="21"/>
    </row>
    <row r="225" spans="4:10" ht="12.75">
      <c r="D225" s="22" t="s">
        <v>59</v>
      </c>
      <c r="E225" s="23"/>
      <c r="F225" s="21"/>
      <c r="G225" s="72" t="s">
        <v>126</v>
      </c>
      <c r="H225" s="44">
        <f>(H223+(H224-E10)*TAN(C195*PI()/180))*COS(C195*PI()/180)-M8*SIN(C195*PI()/180)</f>
        <v>0.013904709394718641</v>
      </c>
      <c r="I225" s="33" t="s">
        <v>19</v>
      </c>
      <c r="J225" s="21"/>
    </row>
  </sheetData>
  <printOptions/>
  <pageMargins left="0.75" right="0.75" top="1" bottom="1" header="0.5" footer="0.5"/>
  <pageSetup horizontalDpi="240" verticalDpi="24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25"/>
  <sheetViews>
    <sheetView workbookViewId="0" topLeftCell="A1">
      <selection activeCell="A1" sqref="A1"/>
    </sheetView>
  </sheetViews>
  <sheetFormatPr defaultColWidth="9.140625" defaultRowHeight="12.75"/>
  <cols>
    <col min="2" max="3" width="9.28125" style="0" bestFit="1" customWidth="1"/>
    <col min="4" max="4" width="9.28125" style="0" customWidth="1"/>
    <col min="5" max="5" width="9.28125" style="13" customWidth="1"/>
    <col min="6" max="9" width="9.28125" style="0" customWidth="1"/>
    <col min="10" max="11" width="9.28125" style="0" bestFit="1" customWidth="1"/>
    <col min="12" max="12" width="9.28125" style="0" customWidth="1"/>
    <col min="13" max="13" width="9.28125" style="0" bestFit="1" customWidth="1"/>
    <col min="14" max="14" width="9.28125" style="0" customWidth="1"/>
  </cols>
  <sheetData>
    <row r="1" spans="1:14" ht="14.25">
      <c r="A1" s="113" t="s">
        <v>249</v>
      </c>
      <c r="B1" s="1"/>
      <c r="C1" s="1"/>
      <c r="D1" s="1"/>
      <c r="E1" s="45"/>
      <c r="F1" s="1"/>
      <c r="G1" s="1"/>
      <c r="H1" s="1"/>
      <c r="I1" s="1"/>
      <c r="J1" s="1"/>
      <c r="K1" s="1"/>
      <c r="L1" s="1"/>
      <c r="M1" s="1"/>
      <c r="N1" s="1"/>
    </row>
    <row r="2" spans="1:14" s="8" customFormat="1" ht="12.75">
      <c r="A2" s="51" t="s">
        <v>51</v>
      </c>
      <c r="B2" s="50"/>
      <c r="C2" s="52">
        <v>0</v>
      </c>
      <c r="D2" s="12">
        <v>0</v>
      </c>
      <c r="E2" s="46">
        <v>1</v>
      </c>
      <c r="F2" s="12">
        <v>2</v>
      </c>
      <c r="G2" s="12">
        <v>3</v>
      </c>
      <c r="H2" s="12">
        <v>4</v>
      </c>
      <c r="I2" s="12">
        <v>5</v>
      </c>
      <c r="J2" s="12">
        <v>6</v>
      </c>
      <c r="K2" s="12">
        <v>7</v>
      </c>
      <c r="L2" s="12">
        <v>8</v>
      </c>
      <c r="M2" s="12">
        <v>9</v>
      </c>
      <c r="N2" s="12">
        <v>10</v>
      </c>
    </row>
    <row r="3" spans="1:16" ht="12.75">
      <c r="A3" s="22" t="s">
        <v>23</v>
      </c>
      <c r="B3" s="23"/>
      <c r="C3" s="59" t="s">
        <v>19</v>
      </c>
      <c r="D3" s="106">
        <v>-1</v>
      </c>
      <c r="E3" s="106">
        <v>-1</v>
      </c>
      <c r="F3" s="106">
        <v>-1</v>
      </c>
      <c r="G3" s="106">
        <v>-1</v>
      </c>
      <c r="H3" s="106">
        <v>-1</v>
      </c>
      <c r="I3" s="5">
        <v>0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P3" s="116"/>
    </row>
    <row r="4" spans="1:16" ht="14.25">
      <c r="A4" s="36" t="s">
        <v>237</v>
      </c>
      <c r="B4" s="23"/>
      <c r="C4" s="59" t="s">
        <v>33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P4" s="116"/>
    </row>
    <row r="5" spans="1:16" ht="12.75">
      <c r="A5" s="36" t="s">
        <v>239</v>
      </c>
      <c r="B5" s="23"/>
      <c r="C5" s="59" t="s">
        <v>19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P5" s="116"/>
    </row>
    <row r="6" spans="1:7" ht="15.75">
      <c r="A6" s="24" t="s">
        <v>22</v>
      </c>
      <c r="B6" s="25"/>
      <c r="C6" s="26"/>
      <c r="D6" s="61" t="s">
        <v>76</v>
      </c>
      <c r="E6" s="58">
        <f>(J3-I3)*(0.5*D4+E4+F4+G4+H4+I4+J4+K4+L4+M4+0.5*N4)</f>
        <v>10</v>
      </c>
      <c r="F6" s="31" t="s">
        <v>34</v>
      </c>
      <c r="G6" s="32"/>
    </row>
    <row r="7" spans="1:14" ht="15.75">
      <c r="A7" s="47" t="s">
        <v>240</v>
      </c>
      <c r="B7" s="48"/>
      <c r="C7" s="21"/>
      <c r="D7" s="6" t="s">
        <v>60</v>
      </c>
      <c r="E7" s="44">
        <v>10</v>
      </c>
      <c r="F7" s="23" t="s">
        <v>33</v>
      </c>
      <c r="G7" s="21"/>
      <c r="I7" t="s">
        <v>243</v>
      </c>
      <c r="L7" t="s">
        <v>65</v>
      </c>
      <c r="M7" s="8">
        <v>1</v>
      </c>
      <c r="N7" t="s">
        <v>19</v>
      </c>
    </row>
    <row r="8" spans="1:14" ht="15.75">
      <c r="A8" s="27" t="s">
        <v>26</v>
      </c>
      <c r="B8" s="28"/>
      <c r="C8" s="29"/>
      <c r="D8" s="20" t="s">
        <v>78</v>
      </c>
      <c r="E8" s="44">
        <f>(J3-I3)*(0.5*D4*D5+E4*E5+F4*F5+G4*G5+H4*H5+I4*I5+J4*J5+K4*K5+L4*L5+M4*M5+0.5*N4*N5)</f>
        <v>10</v>
      </c>
      <c r="F8" s="23" t="s">
        <v>36</v>
      </c>
      <c r="G8" s="21"/>
      <c r="I8" t="s">
        <v>81</v>
      </c>
      <c r="L8" t="s">
        <v>82</v>
      </c>
      <c r="M8" s="54">
        <f>M7-E10</f>
        <v>0</v>
      </c>
      <c r="N8" t="s">
        <v>19</v>
      </c>
    </row>
    <row r="9" spans="1:14" ht="15.75">
      <c r="A9" s="34"/>
      <c r="B9" s="9"/>
      <c r="C9" s="35"/>
      <c r="D9" s="20" t="s">
        <v>77</v>
      </c>
      <c r="E9" s="44">
        <f>(J3-I3)*(J3-I3)*(-2.5*D4-4*E4-3*F4-2*G4-H4+J4+2*K4+3*L4+4*M4+2.5*N4)</f>
        <v>0</v>
      </c>
      <c r="F9" s="23" t="s">
        <v>56</v>
      </c>
      <c r="G9" s="21"/>
      <c r="I9" s="55" t="s">
        <v>62</v>
      </c>
      <c r="L9" t="s">
        <v>80</v>
      </c>
      <c r="M9" s="13">
        <f>E10+E14-M7</f>
        <v>0.10000000000000009</v>
      </c>
      <c r="N9" t="s">
        <v>19</v>
      </c>
    </row>
    <row r="10" spans="1:14" ht="15.75">
      <c r="A10" s="27" t="s">
        <v>122</v>
      </c>
      <c r="B10" s="28"/>
      <c r="C10" s="29"/>
      <c r="D10" s="20" t="s">
        <v>54</v>
      </c>
      <c r="E10" s="44">
        <f>E8/E6</f>
        <v>1</v>
      </c>
      <c r="F10" s="33" t="s">
        <v>24</v>
      </c>
      <c r="G10" s="21"/>
      <c r="I10" t="s">
        <v>59</v>
      </c>
      <c r="L10" t="s">
        <v>61</v>
      </c>
      <c r="M10" s="8">
        <f>(0+(E10-E10)*TAN(C2*PI()/180))*COS(C2*PI()/180)-M8*SIN(C2*PI()/180)</f>
        <v>0</v>
      </c>
      <c r="N10" t="s">
        <v>19</v>
      </c>
    </row>
    <row r="11" spans="1:7" ht="15.75">
      <c r="A11" s="34"/>
      <c r="B11" s="9"/>
      <c r="C11" s="35"/>
      <c r="D11" s="20" t="s">
        <v>79</v>
      </c>
      <c r="E11" s="44">
        <f>E9/E6</f>
        <v>0</v>
      </c>
      <c r="F11" s="33" t="s">
        <v>55</v>
      </c>
      <c r="G11" s="21"/>
    </row>
    <row r="12" spans="1:6" ht="15.75">
      <c r="A12" s="27" t="s">
        <v>242</v>
      </c>
      <c r="B12" s="28"/>
      <c r="C12" s="29"/>
      <c r="D12" s="20" t="s">
        <v>49</v>
      </c>
      <c r="E12" s="44">
        <v>1</v>
      </c>
      <c r="F12" s="21" t="s">
        <v>35</v>
      </c>
    </row>
    <row r="13" spans="1:6" ht="15.75">
      <c r="A13" s="34"/>
      <c r="B13" s="9"/>
      <c r="C13" s="35"/>
      <c r="D13" s="20" t="s">
        <v>50</v>
      </c>
      <c r="E13" s="44">
        <v>1</v>
      </c>
      <c r="F13" s="21" t="s">
        <v>35</v>
      </c>
    </row>
    <row r="14" spans="1:6" ht="15.75">
      <c r="A14" s="22" t="s">
        <v>27</v>
      </c>
      <c r="B14" s="23"/>
      <c r="C14" s="21"/>
      <c r="D14" s="20" t="s">
        <v>57</v>
      </c>
      <c r="E14" s="44">
        <f>E12/E6</f>
        <v>0.1</v>
      </c>
      <c r="F14" s="21" t="s">
        <v>19</v>
      </c>
    </row>
    <row r="15" spans="1:6" ht="15.75">
      <c r="A15" s="36" t="s">
        <v>28</v>
      </c>
      <c r="B15" s="23"/>
      <c r="C15" s="21"/>
      <c r="D15" s="20" t="s">
        <v>58</v>
      </c>
      <c r="E15" s="44">
        <f>E13/E6</f>
        <v>0.1</v>
      </c>
      <c r="F15" s="21" t="s">
        <v>19</v>
      </c>
    </row>
    <row r="16" spans="1:6" ht="12.75">
      <c r="A16" s="73"/>
      <c r="B16" s="9"/>
      <c r="C16" s="9"/>
      <c r="D16" s="41"/>
      <c r="E16" s="53"/>
      <c r="F16" s="9"/>
    </row>
    <row r="17" spans="1:8" ht="12.75">
      <c r="A17" s="73" t="s">
        <v>238</v>
      </c>
      <c r="B17" s="9"/>
      <c r="C17" s="9"/>
      <c r="D17" s="41"/>
      <c r="E17" s="53"/>
      <c r="F17" s="9"/>
      <c r="H17" s="54"/>
    </row>
    <row r="18" spans="1:6" ht="12.75">
      <c r="A18" s="73" t="s">
        <v>241</v>
      </c>
      <c r="B18" s="9"/>
      <c r="C18" s="9"/>
      <c r="D18" s="41"/>
      <c r="E18" s="53"/>
      <c r="F18" s="9"/>
    </row>
    <row r="19" spans="1:6" ht="12.75">
      <c r="A19" s="73" t="s">
        <v>244</v>
      </c>
      <c r="B19" s="9"/>
      <c r="C19" s="9"/>
      <c r="D19" s="41"/>
      <c r="E19" s="53"/>
      <c r="F19" s="9"/>
    </row>
    <row r="20" spans="1:6" ht="12.75">
      <c r="A20" s="73"/>
      <c r="B20" s="9"/>
      <c r="C20" s="9"/>
      <c r="D20" s="41"/>
      <c r="E20" s="53"/>
      <c r="F20" s="9"/>
    </row>
    <row r="21" spans="1:6" ht="12.75">
      <c r="A21" s="73"/>
      <c r="B21" s="9"/>
      <c r="C21" s="9"/>
      <c r="D21" s="41"/>
      <c r="E21" s="53"/>
      <c r="F21" s="9"/>
    </row>
    <row r="22" spans="1:6" ht="12.75">
      <c r="A22" s="73"/>
      <c r="B22" s="9"/>
      <c r="C22" s="9"/>
      <c r="D22" s="41"/>
      <c r="E22" s="53"/>
      <c r="F22" s="9"/>
    </row>
    <row r="23" spans="1:6" ht="12.75">
      <c r="A23" s="73"/>
      <c r="B23" s="9"/>
      <c r="C23" s="9"/>
      <c r="D23" s="41"/>
      <c r="E23" s="53"/>
      <c r="F23" s="9"/>
    </row>
    <row r="24" spans="1:6" ht="12.75">
      <c r="A24" s="73"/>
      <c r="B24" s="9"/>
      <c r="C24" s="9"/>
      <c r="D24" s="41"/>
      <c r="E24" s="53"/>
      <c r="F24" s="9"/>
    </row>
    <row r="25" spans="1:6" ht="12.75">
      <c r="A25" s="73"/>
      <c r="B25" s="9"/>
      <c r="C25" s="9"/>
      <c r="D25" s="41"/>
      <c r="E25" s="53"/>
      <c r="F25" s="9"/>
    </row>
    <row r="26" spans="1:6" ht="12.75">
      <c r="A26" s="73"/>
      <c r="B26" s="9"/>
      <c r="C26" s="9"/>
      <c r="D26" s="41"/>
      <c r="E26" s="53"/>
      <c r="F26" s="9"/>
    </row>
    <row r="27" spans="1:6" ht="12.75">
      <c r="A27" s="73"/>
      <c r="B27" s="9"/>
      <c r="C27" s="9"/>
      <c r="D27" s="41"/>
      <c r="E27" s="53"/>
      <c r="F27" s="9"/>
    </row>
    <row r="28" spans="1:6" ht="12.75">
      <c r="A28" s="73"/>
      <c r="B28" s="9"/>
      <c r="C28" s="9"/>
      <c r="D28" s="41"/>
      <c r="E28" s="53"/>
      <c r="F28" s="9"/>
    </row>
    <row r="29" spans="1:6" ht="12.75">
      <c r="A29" s="73"/>
      <c r="B29" s="9"/>
      <c r="C29" s="9"/>
      <c r="D29" s="41"/>
      <c r="E29" s="53"/>
      <c r="F29" s="9"/>
    </row>
    <row r="30" spans="1:6" ht="12.75">
      <c r="A30" s="73"/>
      <c r="B30" s="9"/>
      <c r="C30" s="9"/>
      <c r="D30" s="41"/>
      <c r="E30" s="53"/>
      <c r="F30" s="9"/>
    </row>
    <row r="31" spans="1:6" ht="12.75">
      <c r="A31" s="73"/>
      <c r="B31" s="9"/>
      <c r="C31" s="9"/>
      <c r="D31" s="41"/>
      <c r="E31" s="53"/>
      <c r="F31" s="9"/>
    </row>
    <row r="32" spans="1:6" ht="12.75">
      <c r="A32" s="73"/>
      <c r="B32" s="9"/>
      <c r="C32" s="9"/>
      <c r="D32" s="41"/>
      <c r="E32" s="53"/>
      <c r="F32" s="9"/>
    </row>
    <row r="33" spans="1:6" ht="12.75">
      <c r="A33" s="73"/>
      <c r="B33" s="9"/>
      <c r="C33" s="9"/>
      <c r="D33" s="41"/>
      <c r="E33" s="53"/>
      <c r="F33" s="9"/>
    </row>
    <row r="34" spans="1:14" ht="12.75">
      <c r="A34" s="9"/>
      <c r="B34" s="9"/>
      <c r="C34" s="9"/>
      <c r="E34" s="53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51" t="s">
        <v>51</v>
      </c>
      <c r="B35" s="50"/>
      <c r="C35" s="52">
        <v>15</v>
      </c>
      <c r="D35" s="12">
        <v>0</v>
      </c>
      <c r="E35" s="46">
        <v>1</v>
      </c>
      <c r="F35" s="12">
        <v>2</v>
      </c>
      <c r="G35" s="12">
        <v>3</v>
      </c>
      <c r="H35" s="12">
        <v>4</v>
      </c>
      <c r="I35" s="12">
        <v>5</v>
      </c>
      <c r="J35" s="12">
        <v>6</v>
      </c>
      <c r="K35" s="12">
        <v>7</v>
      </c>
      <c r="L35" s="12">
        <v>8</v>
      </c>
      <c r="M35" s="12">
        <v>9</v>
      </c>
      <c r="N35" s="12">
        <v>10</v>
      </c>
    </row>
    <row r="36" spans="1:14" ht="12.75">
      <c r="A36" s="22" t="s">
        <v>23</v>
      </c>
      <c r="B36" s="23"/>
      <c r="C36" s="59" t="s">
        <v>19</v>
      </c>
      <c r="D36" s="106">
        <v>-1</v>
      </c>
      <c r="E36" s="106">
        <v>-1</v>
      </c>
      <c r="F36" s="106">
        <v>-1</v>
      </c>
      <c r="G36" s="106">
        <v>-1</v>
      </c>
      <c r="H36" s="106">
        <v>-1</v>
      </c>
      <c r="I36" s="5">
        <v>0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</row>
    <row r="37" spans="1:14" ht="14.25">
      <c r="A37" s="22" t="s">
        <v>83</v>
      </c>
      <c r="B37" s="23"/>
      <c r="C37" s="59" t="s">
        <v>33</v>
      </c>
      <c r="D37" s="76">
        <v>0</v>
      </c>
      <c r="E37" s="77">
        <v>-0.025</v>
      </c>
      <c r="F37" s="76">
        <v>-0.05</v>
      </c>
      <c r="G37" s="76">
        <v>-0.075</v>
      </c>
      <c r="H37" s="76">
        <v>-0.1</v>
      </c>
      <c r="I37" s="76">
        <v>-0.1</v>
      </c>
      <c r="J37" s="76">
        <v>-0.1</v>
      </c>
      <c r="K37" s="76">
        <v>-0.075</v>
      </c>
      <c r="L37" s="76">
        <v>-0.05</v>
      </c>
      <c r="M37" s="76">
        <v>-0.025</v>
      </c>
      <c r="N37" s="76">
        <v>0</v>
      </c>
    </row>
    <row r="38" spans="1:14" ht="12.75">
      <c r="A38" s="22" t="s">
        <v>74</v>
      </c>
      <c r="B38" s="23"/>
      <c r="C38" s="59" t="s">
        <v>19</v>
      </c>
      <c r="D38" s="38">
        <v>0.2</v>
      </c>
      <c r="E38" s="38">
        <v>0.2</v>
      </c>
      <c r="F38" s="38">
        <v>0.2</v>
      </c>
      <c r="G38" s="38">
        <v>0.2</v>
      </c>
      <c r="H38" s="38">
        <v>0.2</v>
      </c>
      <c r="I38" s="38">
        <v>0.2</v>
      </c>
      <c r="J38" s="38">
        <v>0.2</v>
      </c>
      <c r="K38" s="38">
        <v>0.2</v>
      </c>
      <c r="L38" s="38">
        <v>0.2</v>
      </c>
      <c r="M38" s="38">
        <v>0.2</v>
      </c>
      <c r="N38" s="38">
        <v>0.2</v>
      </c>
    </row>
    <row r="39" spans="1:14" ht="12.75">
      <c r="A39" s="27" t="s">
        <v>75</v>
      </c>
      <c r="B39" s="9"/>
      <c r="C39" s="62" t="s">
        <v>19</v>
      </c>
      <c r="D39" s="38">
        <v>-0.2</v>
      </c>
      <c r="E39" s="38">
        <v>-0.2</v>
      </c>
      <c r="F39" s="38">
        <v>-0.2</v>
      </c>
      <c r="G39" s="38">
        <v>-0.2</v>
      </c>
      <c r="H39" s="38">
        <v>-0.2</v>
      </c>
      <c r="I39" s="38">
        <v>-0.2</v>
      </c>
      <c r="J39" s="38">
        <v>-0.2</v>
      </c>
      <c r="K39" s="38">
        <v>-0.2</v>
      </c>
      <c r="L39" s="38">
        <v>-0.2</v>
      </c>
      <c r="M39" s="38">
        <v>-0.2</v>
      </c>
      <c r="N39" s="38">
        <v>-0.2</v>
      </c>
    </row>
    <row r="40" spans="1:14" ht="15.75">
      <c r="A40" s="22" t="s">
        <v>85</v>
      </c>
      <c r="B40" s="23"/>
      <c r="C40" s="60" t="s">
        <v>19</v>
      </c>
      <c r="D40" s="76">
        <v>0</v>
      </c>
      <c r="E40" s="77">
        <v>-0.025</v>
      </c>
      <c r="F40" s="76">
        <v>-0.05</v>
      </c>
      <c r="G40" s="76">
        <v>-0.075</v>
      </c>
      <c r="H40" s="76">
        <v>-0.1</v>
      </c>
      <c r="I40" s="76">
        <v>-0.1</v>
      </c>
      <c r="J40" s="76">
        <v>-0.1</v>
      </c>
      <c r="K40" s="76">
        <v>-0.075</v>
      </c>
      <c r="L40" s="76">
        <v>-0.05</v>
      </c>
      <c r="M40" s="76">
        <v>-0.025</v>
      </c>
      <c r="N40" s="76">
        <v>0</v>
      </c>
    </row>
    <row r="41" spans="1:14" ht="14.25">
      <c r="A41" s="22" t="s">
        <v>84</v>
      </c>
      <c r="B41" s="23"/>
      <c r="C41" s="59" t="s">
        <v>33</v>
      </c>
      <c r="D41" s="76">
        <v>0</v>
      </c>
      <c r="E41" s="76">
        <v>0.05</v>
      </c>
      <c r="F41" s="76">
        <v>0.1</v>
      </c>
      <c r="G41" s="76">
        <v>0.15</v>
      </c>
      <c r="H41" s="76">
        <v>0.2</v>
      </c>
      <c r="I41" s="76">
        <v>0.2</v>
      </c>
      <c r="J41" s="76">
        <v>0.2</v>
      </c>
      <c r="K41" s="76">
        <v>0.15</v>
      </c>
      <c r="L41" s="76">
        <v>0.1</v>
      </c>
      <c r="M41" s="76">
        <v>0.05</v>
      </c>
      <c r="N41" s="76">
        <v>0</v>
      </c>
    </row>
    <row r="42" spans="1:14" ht="12.75">
      <c r="A42" s="22" t="s">
        <v>74</v>
      </c>
      <c r="B42" s="23"/>
      <c r="C42" s="59" t="s">
        <v>19</v>
      </c>
      <c r="D42" s="38">
        <v>0.6</v>
      </c>
      <c r="E42" s="38">
        <v>0.6</v>
      </c>
      <c r="F42" s="38">
        <v>0.6</v>
      </c>
      <c r="G42" s="38">
        <v>0.6</v>
      </c>
      <c r="H42" s="38">
        <v>0.6</v>
      </c>
      <c r="I42" s="38">
        <v>0.6</v>
      </c>
      <c r="J42" s="38">
        <v>0.6</v>
      </c>
      <c r="K42" s="38">
        <v>0.6</v>
      </c>
      <c r="L42" s="38">
        <v>0.6</v>
      </c>
      <c r="M42" s="38">
        <v>0.6</v>
      </c>
      <c r="N42" s="38">
        <v>0.6</v>
      </c>
    </row>
    <row r="43" spans="1:14" ht="12.75">
      <c r="A43" s="22" t="s">
        <v>75</v>
      </c>
      <c r="B43" s="23"/>
      <c r="C43" s="60" t="s">
        <v>19</v>
      </c>
      <c r="D43" s="38">
        <v>0.2</v>
      </c>
      <c r="E43" s="38">
        <v>0.2</v>
      </c>
      <c r="F43" s="38">
        <v>0.2</v>
      </c>
      <c r="G43" s="38">
        <v>0.2</v>
      </c>
      <c r="H43" s="38">
        <v>0.2</v>
      </c>
      <c r="I43" s="38">
        <v>0.2</v>
      </c>
      <c r="J43" s="38">
        <v>0.2</v>
      </c>
      <c r="K43" s="38">
        <v>0.2</v>
      </c>
      <c r="L43" s="38">
        <v>0.2</v>
      </c>
      <c r="M43" s="38">
        <v>0.2</v>
      </c>
      <c r="N43" s="38">
        <v>0.2</v>
      </c>
    </row>
    <row r="44" spans="1:14" ht="15.75">
      <c r="A44" s="22" t="s">
        <v>86</v>
      </c>
      <c r="B44" s="23"/>
      <c r="C44" s="60" t="s">
        <v>19</v>
      </c>
      <c r="D44" s="76">
        <v>0</v>
      </c>
      <c r="E44" s="76">
        <v>0.05</v>
      </c>
      <c r="F44" s="76">
        <v>0.1</v>
      </c>
      <c r="G44" s="76">
        <v>0.15</v>
      </c>
      <c r="H44" s="76">
        <v>0.2</v>
      </c>
      <c r="I44" s="76">
        <v>0.2</v>
      </c>
      <c r="J44" s="76">
        <v>0.2</v>
      </c>
      <c r="K44" s="76">
        <v>0.15</v>
      </c>
      <c r="L44" s="76">
        <v>0.1</v>
      </c>
      <c r="M44" s="76">
        <v>0.05</v>
      </c>
      <c r="N44" s="76">
        <v>0</v>
      </c>
    </row>
    <row r="46" spans="1:14" ht="15.75">
      <c r="A46" s="24" t="s">
        <v>87</v>
      </c>
      <c r="B46" s="25"/>
      <c r="C46" s="26"/>
      <c r="D46" s="20" t="s">
        <v>88</v>
      </c>
      <c r="E46" s="44">
        <f>(J36-I36)*(0.5*D37+E37+F37+G37+H37+I37+J37+K37+L37+M37+0.5*N37)</f>
        <v>-0.6</v>
      </c>
      <c r="F46" s="70" t="s">
        <v>34</v>
      </c>
      <c r="G46" s="34"/>
      <c r="H46" s="24" t="s">
        <v>98</v>
      </c>
      <c r="I46" s="25"/>
      <c r="J46" s="26"/>
      <c r="K46" s="20" t="s">
        <v>101</v>
      </c>
      <c r="L46" s="44">
        <f>(J36-I36)*(0.5*D41+E41+F41+G41+H41+I41+J41+K41+L41+M41+0.5*N41)</f>
        <v>1.2</v>
      </c>
      <c r="M46" s="70" t="s">
        <v>34</v>
      </c>
      <c r="N46" s="34"/>
    </row>
    <row r="47" spans="1:15" ht="15.75">
      <c r="A47" s="47" t="s">
        <v>89</v>
      </c>
      <c r="B47" s="48"/>
      <c r="C47" s="49"/>
      <c r="D47" s="20" t="s">
        <v>90</v>
      </c>
      <c r="E47" s="44">
        <f>(J36-I36)*(J36-I36)*((-2.5)*D37+(-4)*E37+(-3)*F37+(-2)*G37-H37+J37+2*K37+3*L37+4*M37+2.5*N37)</f>
        <v>-2.7755575615628914E-17</v>
      </c>
      <c r="F47" s="70" t="s">
        <v>91</v>
      </c>
      <c r="G47" s="34"/>
      <c r="H47" s="47" t="s">
        <v>99</v>
      </c>
      <c r="I47" s="48"/>
      <c r="J47" s="49"/>
      <c r="K47" s="20" t="s">
        <v>102</v>
      </c>
      <c r="L47" s="44">
        <f>(J36-I36)*(J36-I36)*((-2.5)*D41+(-4)*E41+(-3)*F41+(-2)*G41-H41+J41+2*K41+3*L41+4*M41+2.5*N41)</f>
        <v>5.551115123125783E-17</v>
      </c>
      <c r="M47" s="70" t="s">
        <v>91</v>
      </c>
      <c r="N47" s="34"/>
      <c r="O47" s="74"/>
    </row>
    <row r="48" spans="1:15" ht="15.75">
      <c r="A48" s="63"/>
      <c r="B48" s="64"/>
      <c r="C48" s="65"/>
      <c r="D48" s="20" t="s">
        <v>92</v>
      </c>
      <c r="E48" s="44">
        <f>(J36-I36)*(0.5*D37*D39+E37*E39+F37*F39+G37*G39+H37*H39+I37*I39+J37*J39+K37*K39+L37*L39+M37*M39+0.5*N37*N39)</f>
        <v>0.12000000000000002</v>
      </c>
      <c r="F48" s="70" t="s">
        <v>35</v>
      </c>
      <c r="G48" s="34"/>
      <c r="H48" s="63"/>
      <c r="I48" s="64"/>
      <c r="J48" s="65"/>
      <c r="K48" s="20" t="s">
        <v>103</v>
      </c>
      <c r="L48" s="44">
        <f>(J36-I36)*(0.5*D41*D43+E41*E43+F41*F43+G41*G43+H41*H43+I41*I43+J41*J43+K41*K43+L41*L43+M41*M43+0.5*N41*N43)</f>
        <v>0.24000000000000005</v>
      </c>
      <c r="M48" s="70" t="s">
        <v>35</v>
      </c>
      <c r="N48" s="34"/>
      <c r="O48" s="74"/>
    </row>
    <row r="49" spans="1:15" ht="15.75">
      <c r="A49" s="66"/>
      <c r="B49" s="67"/>
      <c r="C49" s="68"/>
      <c r="D49" s="20" t="s">
        <v>93</v>
      </c>
      <c r="E49" s="44">
        <f>(J36-I36)*(0.5*D37*D38+E37*E38+F37*F38+G37*G38+H37*H38+I37*I38+J37*J38+K37*K38+L37*L38+M37*M38+0.5*N37*N38)</f>
        <v>-0.12000000000000002</v>
      </c>
      <c r="F49" s="70" t="s">
        <v>35</v>
      </c>
      <c r="G49" s="34"/>
      <c r="H49" s="66"/>
      <c r="I49" s="67"/>
      <c r="J49" s="68"/>
      <c r="K49" s="20" t="s">
        <v>104</v>
      </c>
      <c r="L49" s="44">
        <f>(J36-I36)*(0.5*D41*D42+E41*E42+F41*F42+G41*G42+H41*H42+I41*I42+J41*J42+K41*K42+L41*L42+M41*M42+0.5*N41*N42)</f>
        <v>0.72</v>
      </c>
      <c r="M49" s="70" t="s">
        <v>35</v>
      </c>
      <c r="N49" s="34"/>
      <c r="O49" s="74"/>
    </row>
    <row r="50" spans="1:14" ht="15.75">
      <c r="A50" s="63" t="s">
        <v>94</v>
      </c>
      <c r="B50" s="64"/>
      <c r="C50" s="49"/>
      <c r="D50" s="20" t="s">
        <v>95</v>
      </c>
      <c r="E50" s="44">
        <f>E47/E46</f>
        <v>4.625929269271486E-17</v>
      </c>
      <c r="F50" s="70" t="s">
        <v>19</v>
      </c>
      <c r="G50" s="34"/>
      <c r="H50" s="63" t="s">
        <v>100</v>
      </c>
      <c r="I50" s="64"/>
      <c r="J50" s="49"/>
      <c r="K50" s="20" t="s">
        <v>105</v>
      </c>
      <c r="L50" s="44">
        <f>L47/L46</f>
        <v>4.625929269271486E-17</v>
      </c>
      <c r="M50" s="70" t="s">
        <v>19</v>
      </c>
      <c r="N50" s="34"/>
    </row>
    <row r="51" spans="1:14" ht="15.75">
      <c r="A51" s="63"/>
      <c r="B51" s="64"/>
      <c r="C51" s="65"/>
      <c r="D51" s="20" t="s">
        <v>96</v>
      </c>
      <c r="E51" s="44">
        <f>E48/E46</f>
        <v>-0.20000000000000004</v>
      </c>
      <c r="F51" s="70" t="s">
        <v>19</v>
      </c>
      <c r="G51" s="34"/>
      <c r="H51" s="63"/>
      <c r="I51" s="64"/>
      <c r="J51" s="65"/>
      <c r="K51" s="20" t="s">
        <v>106</v>
      </c>
      <c r="L51" s="44">
        <f>L48/L46</f>
        <v>0.20000000000000004</v>
      </c>
      <c r="M51" s="70" t="s">
        <v>19</v>
      </c>
      <c r="N51" s="34"/>
    </row>
    <row r="52" spans="1:14" ht="15.75">
      <c r="A52" s="66"/>
      <c r="B52" s="67"/>
      <c r="C52" s="68"/>
      <c r="D52" s="69" t="s">
        <v>97</v>
      </c>
      <c r="E52" s="44">
        <f>E49/E46</f>
        <v>0.20000000000000004</v>
      </c>
      <c r="F52" s="70" t="s">
        <v>19</v>
      </c>
      <c r="G52" s="34"/>
      <c r="H52" s="66"/>
      <c r="I52" s="67"/>
      <c r="J52" s="68"/>
      <c r="K52" s="69" t="s">
        <v>107</v>
      </c>
      <c r="L52" s="44">
        <f>L49/L46</f>
        <v>0.6</v>
      </c>
      <c r="M52" s="70" t="s">
        <v>19</v>
      </c>
      <c r="N52" s="34"/>
    </row>
    <row r="53" spans="1:13" ht="15.75">
      <c r="A53" s="22" t="s">
        <v>52</v>
      </c>
      <c r="B53" s="23"/>
      <c r="C53" s="21"/>
      <c r="D53" s="71" t="s">
        <v>108</v>
      </c>
      <c r="E53" s="44">
        <f>(0.5*(D44-D40)+E44-E40+F44-F40+G44-G40+H44-H40+I44-I40+J44-J40+K44-K40+L44-L40+M44-M40+0.5*(N44-N40))*(J36-I36)</f>
        <v>1.8</v>
      </c>
      <c r="F53" s="59" t="s">
        <v>33</v>
      </c>
      <c r="H53" s="22" t="s">
        <v>53</v>
      </c>
      <c r="I53" s="23"/>
      <c r="J53" s="21"/>
      <c r="K53" s="71" t="s">
        <v>114</v>
      </c>
      <c r="L53" s="23">
        <f>0.5*(L46+E46)/E53</f>
        <v>0.16666666666666666</v>
      </c>
      <c r="M53" s="59" t="s">
        <v>19</v>
      </c>
    </row>
    <row r="54" spans="1:13" ht="15.75">
      <c r="A54" s="27" t="s">
        <v>111</v>
      </c>
      <c r="B54" s="28"/>
      <c r="C54" s="29"/>
      <c r="D54" s="71" t="s">
        <v>112</v>
      </c>
      <c r="E54" s="44">
        <f>(J36-I36)*(J36-I36)*((-2.5)*(D44-D40)+(-4)*(E44-E40)+(-3)*(F44-F40)+(-2)*(G44-G40)-(H44-H40)+J44-J40+2*(K44-K40)+3*(L44-L40)+4*(M44-M40)+2.5*(N44-N40))</f>
        <v>-1.1102230246251565E-16</v>
      </c>
      <c r="F54" s="60" t="s">
        <v>19</v>
      </c>
      <c r="H54" s="27" t="s">
        <v>115</v>
      </c>
      <c r="I54" s="28"/>
      <c r="J54" s="29"/>
      <c r="K54" s="71" t="s">
        <v>132</v>
      </c>
      <c r="L54" s="23">
        <f>L53*COS((C2*PI()/180))/SIN((C35*PI()/180)-(C2*PI()/180))</f>
        <v>0.6439505508593789</v>
      </c>
      <c r="M54" s="59">
        <f>L54</f>
        <v>0.6439505508593789</v>
      </c>
    </row>
    <row r="55" spans="1:13" ht="15.75">
      <c r="A55" s="30"/>
      <c r="B55" s="31"/>
      <c r="C55" s="32"/>
      <c r="D55" s="71" t="s">
        <v>113</v>
      </c>
      <c r="E55" s="44">
        <f>0.5*(J36-I36)*(0.5*(D44-D40)*(D44+B4)+(E44-E40)*(E44+E40)+(F44-F40)*(F44+F40)+(G44-G40)*(G44+G40)+(H44-H40)*(H44+H40)+(I44-I40)*(I44+I40)+(J44-J40)*(J44+J40)+(K44-K40)*(K44+K40)+(L44-L40)*(L44+L40)+(M44-M40)*(M44+M40)+0.5*(N44-N40)*(N44+N40))</f>
        <v>0.07125000000000001</v>
      </c>
      <c r="F55" s="60" t="s">
        <v>19</v>
      </c>
      <c r="H55" s="30"/>
      <c r="I55" s="31"/>
      <c r="J55" s="32"/>
      <c r="K55" s="71" t="s">
        <v>133</v>
      </c>
      <c r="L55" s="23">
        <f>L53*SIN((C2*PI()/180))/SIN((C35*PI()/180)-(C2*PI()/180))</f>
        <v>0</v>
      </c>
      <c r="M55" s="59">
        <f>L55</f>
        <v>0</v>
      </c>
    </row>
    <row r="56" spans="1:13" ht="15.75">
      <c r="A56" s="27" t="s">
        <v>127</v>
      </c>
      <c r="B56" s="28"/>
      <c r="C56" s="29"/>
      <c r="D56" s="71" t="s">
        <v>109</v>
      </c>
      <c r="E56" s="44">
        <f>E54/E53</f>
        <v>-6.167905692361981E-17</v>
      </c>
      <c r="F56" s="59" t="s">
        <v>19</v>
      </c>
      <c r="H56" s="27" t="s">
        <v>118</v>
      </c>
      <c r="I56" s="28"/>
      <c r="J56" s="29"/>
      <c r="K56" s="71" t="s">
        <v>116</v>
      </c>
      <c r="L56" s="75">
        <f>E56</f>
        <v>-6.167905692361981E-17</v>
      </c>
      <c r="M56" s="59" t="s">
        <v>19</v>
      </c>
    </row>
    <row r="57" spans="1:13" ht="15.75">
      <c r="A57" s="30"/>
      <c r="B57" s="31"/>
      <c r="C57" s="32"/>
      <c r="D57" s="71" t="s">
        <v>110</v>
      </c>
      <c r="E57" s="44">
        <f>E55/E53</f>
        <v>0.03958333333333334</v>
      </c>
      <c r="F57" s="59" t="s">
        <v>19</v>
      </c>
      <c r="H57" s="34"/>
      <c r="I57" s="9"/>
      <c r="J57" s="35"/>
      <c r="K57" s="71" t="s">
        <v>117</v>
      </c>
      <c r="L57" s="23">
        <f>E57*COS(C35*PI()/180)+0.5*L53*SIN(C35*PI()/180)</f>
        <v>0.05980281771581902</v>
      </c>
      <c r="M57" s="59" t="s">
        <v>19</v>
      </c>
    </row>
    <row r="58" spans="8:13" ht="15.75">
      <c r="H58" s="30"/>
      <c r="I58" s="31"/>
      <c r="J58" s="32"/>
      <c r="K58" s="71" t="s">
        <v>245</v>
      </c>
      <c r="L58" s="23">
        <f>0.462+E57*SIN(C35*PI()/180)-0.5*L53*COS(C35*PI()/180)</f>
        <v>0.3917511016778858</v>
      </c>
      <c r="M58" s="59" t="s">
        <v>19</v>
      </c>
    </row>
    <row r="59" spans="4:10" ht="15.75">
      <c r="D59" s="27" t="s">
        <v>26</v>
      </c>
      <c r="E59" s="28"/>
      <c r="F59" s="29"/>
      <c r="G59" s="20" t="s">
        <v>119</v>
      </c>
      <c r="H59" s="44">
        <f>E6*E11+L46*L50-2*E53*L53*L56+E46*E50</f>
        <v>6.476300976980079E-17</v>
      </c>
      <c r="I59" s="23" t="s">
        <v>56</v>
      </c>
      <c r="J59" s="21"/>
    </row>
    <row r="60" spans="4:12" ht="15.75">
      <c r="D60" s="34"/>
      <c r="E60" s="9"/>
      <c r="F60" s="35"/>
      <c r="G60" s="20" t="s">
        <v>120</v>
      </c>
      <c r="H60" s="44">
        <f>E6*0+L46*L51-2*E53*L53*L57+E46*E51</f>
        <v>0.3241183093705087</v>
      </c>
      <c r="I60" s="23" t="s">
        <v>37</v>
      </c>
      <c r="J60" s="21"/>
      <c r="K60" s="117" t="s">
        <v>250</v>
      </c>
      <c r="L60" s="54"/>
    </row>
    <row r="61" spans="4:10" ht="15.75">
      <c r="D61" s="30"/>
      <c r="E61" s="31"/>
      <c r="F61" s="32"/>
      <c r="G61" s="20" t="s">
        <v>121</v>
      </c>
      <c r="H61" s="44">
        <f>E6*E10+L46*L52-2*E53*L53*L58+E46*E52</f>
        <v>10.36494933899327</v>
      </c>
      <c r="I61" s="23" t="s">
        <v>36</v>
      </c>
      <c r="J61" s="21"/>
    </row>
    <row r="62" spans="4:12" ht="12.75">
      <c r="D62" s="27" t="s">
        <v>122</v>
      </c>
      <c r="E62" s="28"/>
      <c r="F62" s="29"/>
      <c r="G62" s="20" t="s">
        <v>124</v>
      </c>
      <c r="H62" s="44">
        <f>H59/E6</f>
        <v>6.476300976980079E-18</v>
      </c>
      <c r="I62" s="33" t="s">
        <v>55</v>
      </c>
      <c r="J62" s="21"/>
      <c r="L62" s="54"/>
    </row>
    <row r="63" spans="4:10" ht="12.75">
      <c r="D63" s="34"/>
      <c r="E63" s="9"/>
      <c r="F63" s="35"/>
      <c r="G63" s="20" t="s">
        <v>125</v>
      </c>
      <c r="H63" s="44">
        <f>H60/E6</f>
        <v>0.03241183093705087</v>
      </c>
      <c r="I63" s="33" t="s">
        <v>32</v>
      </c>
      <c r="J63" s="21"/>
    </row>
    <row r="64" spans="4:10" ht="12.75">
      <c r="D64" s="30"/>
      <c r="E64" s="31"/>
      <c r="F64" s="32"/>
      <c r="G64" s="72" t="s">
        <v>123</v>
      </c>
      <c r="H64" s="44">
        <f>H61/E6</f>
        <v>1.036494933899327</v>
      </c>
      <c r="I64" s="33" t="s">
        <v>24</v>
      </c>
      <c r="J64" s="21"/>
    </row>
    <row r="65" spans="4:10" ht="12.75">
      <c r="D65" s="22" t="s">
        <v>59</v>
      </c>
      <c r="E65" s="23"/>
      <c r="F65" s="21"/>
      <c r="G65" s="72" t="s">
        <v>126</v>
      </c>
      <c r="H65" s="44">
        <f>(H63+(H64-E10)*TAN(C35*PI()/180))*COS(C35*PI()/180)-M8*SIN(C35*PI()/180)</f>
        <v>0.04075300852231588</v>
      </c>
      <c r="I65" s="33" t="s">
        <v>19</v>
      </c>
      <c r="J65" s="21"/>
    </row>
    <row r="67" spans="1:14" ht="12.75">
      <c r="A67" s="51" t="s">
        <v>51</v>
      </c>
      <c r="B67" s="50"/>
      <c r="C67" s="52">
        <v>30</v>
      </c>
      <c r="D67" s="12">
        <v>0</v>
      </c>
      <c r="E67" s="46">
        <v>1</v>
      </c>
      <c r="F67" s="12">
        <v>2</v>
      </c>
      <c r="G67" s="12">
        <v>3</v>
      </c>
      <c r="H67" s="12">
        <v>4</v>
      </c>
      <c r="I67" s="12">
        <v>5</v>
      </c>
      <c r="J67" s="12">
        <v>6</v>
      </c>
      <c r="K67" s="12">
        <v>7</v>
      </c>
      <c r="L67" s="12">
        <v>8</v>
      </c>
      <c r="M67" s="12">
        <v>9</v>
      </c>
      <c r="N67" s="12">
        <v>10</v>
      </c>
    </row>
    <row r="68" spans="1:14" ht="12.75">
      <c r="A68" s="22" t="s">
        <v>23</v>
      </c>
      <c r="B68" s="23"/>
      <c r="C68" s="59" t="s">
        <v>19</v>
      </c>
      <c r="D68" s="106">
        <v>-1</v>
      </c>
      <c r="E68" s="106">
        <v>-1</v>
      </c>
      <c r="F68" s="106">
        <v>-1</v>
      </c>
      <c r="G68" s="106">
        <v>-1</v>
      </c>
      <c r="H68" s="106">
        <v>-1</v>
      </c>
      <c r="I68" s="5">
        <v>0</v>
      </c>
      <c r="J68" s="4">
        <v>1</v>
      </c>
      <c r="K68" s="4">
        <v>1</v>
      </c>
      <c r="L68" s="4">
        <v>1</v>
      </c>
      <c r="M68" s="4">
        <v>1</v>
      </c>
      <c r="N68" s="4">
        <v>1</v>
      </c>
    </row>
    <row r="69" spans="1:14" ht="14.25">
      <c r="A69" s="22" t="s">
        <v>83</v>
      </c>
      <c r="B69" s="23"/>
      <c r="C69" s="59" t="s">
        <v>33</v>
      </c>
      <c r="D69" s="76">
        <v>0</v>
      </c>
      <c r="E69" s="77">
        <v>-0.025</v>
      </c>
      <c r="F69" s="76">
        <v>-0.05</v>
      </c>
      <c r="G69" s="76">
        <v>-0.075</v>
      </c>
      <c r="H69" s="76">
        <v>-0.1</v>
      </c>
      <c r="I69" s="76">
        <v>-0.1</v>
      </c>
      <c r="J69" s="76">
        <v>-0.1</v>
      </c>
      <c r="K69" s="76">
        <v>-0.075</v>
      </c>
      <c r="L69" s="76">
        <v>-0.05</v>
      </c>
      <c r="M69" s="76">
        <v>-0.025</v>
      </c>
      <c r="N69" s="76">
        <v>0</v>
      </c>
    </row>
    <row r="70" spans="1:14" ht="12.75">
      <c r="A70" s="22" t="s">
        <v>74</v>
      </c>
      <c r="B70" s="23"/>
      <c r="C70" s="59" t="s">
        <v>19</v>
      </c>
      <c r="D70" s="38">
        <v>0.2</v>
      </c>
      <c r="E70" s="38">
        <v>0.2</v>
      </c>
      <c r="F70" s="38">
        <v>0.2</v>
      </c>
      <c r="G70" s="38">
        <v>0.2</v>
      </c>
      <c r="H70" s="38">
        <v>0.2</v>
      </c>
      <c r="I70" s="38">
        <v>0.2</v>
      </c>
      <c r="J70" s="38">
        <v>0.2</v>
      </c>
      <c r="K70" s="38">
        <v>0.2</v>
      </c>
      <c r="L70" s="38">
        <v>0.2</v>
      </c>
      <c r="M70" s="38">
        <v>0.2</v>
      </c>
      <c r="N70" s="38">
        <v>0.2</v>
      </c>
    </row>
    <row r="71" spans="1:14" ht="12.75">
      <c r="A71" s="27" t="s">
        <v>75</v>
      </c>
      <c r="B71" s="9"/>
      <c r="C71" s="62" t="s">
        <v>19</v>
      </c>
      <c r="D71" s="38">
        <v>-0.2</v>
      </c>
      <c r="E71" s="38">
        <v>-0.2</v>
      </c>
      <c r="F71" s="38">
        <v>-0.2</v>
      </c>
      <c r="G71" s="38">
        <v>-0.2</v>
      </c>
      <c r="H71" s="38">
        <v>-0.2</v>
      </c>
      <c r="I71" s="38">
        <v>-0.2</v>
      </c>
      <c r="J71" s="38">
        <v>-0.2</v>
      </c>
      <c r="K71" s="38">
        <v>-0.2</v>
      </c>
      <c r="L71" s="38">
        <v>-0.2</v>
      </c>
      <c r="M71" s="38">
        <v>-0.2</v>
      </c>
      <c r="N71" s="38">
        <v>-0.2</v>
      </c>
    </row>
    <row r="72" spans="1:14" ht="15.75">
      <c r="A72" s="22" t="s">
        <v>85</v>
      </c>
      <c r="B72" s="23"/>
      <c r="C72" s="60" t="s">
        <v>19</v>
      </c>
      <c r="D72" s="76">
        <v>0</v>
      </c>
      <c r="E72" s="77">
        <v>-0.025</v>
      </c>
      <c r="F72" s="76">
        <v>-0.05</v>
      </c>
      <c r="G72" s="76">
        <v>-0.075</v>
      </c>
      <c r="H72" s="76">
        <v>-0.1</v>
      </c>
      <c r="I72" s="76">
        <v>-0.1</v>
      </c>
      <c r="J72" s="76">
        <v>-0.1</v>
      </c>
      <c r="K72" s="76">
        <v>-0.075</v>
      </c>
      <c r="L72" s="76">
        <v>-0.05</v>
      </c>
      <c r="M72" s="76">
        <v>-0.025</v>
      </c>
      <c r="N72" s="76">
        <v>0</v>
      </c>
    </row>
    <row r="73" spans="1:14" ht="14.25">
      <c r="A73" s="22" t="s">
        <v>84</v>
      </c>
      <c r="B73" s="23"/>
      <c r="C73" s="59" t="s">
        <v>33</v>
      </c>
      <c r="D73" s="76">
        <v>0</v>
      </c>
      <c r="E73" s="76">
        <v>0.05</v>
      </c>
      <c r="F73" s="76">
        <v>0.1</v>
      </c>
      <c r="G73" s="76">
        <v>0.15</v>
      </c>
      <c r="H73" s="76">
        <v>0.2</v>
      </c>
      <c r="I73" s="76">
        <v>0.2</v>
      </c>
      <c r="J73" s="76">
        <v>0.2</v>
      </c>
      <c r="K73" s="76">
        <v>0.15</v>
      </c>
      <c r="L73" s="76">
        <v>0.1</v>
      </c>
      <c r="M73" s="76">
        <v>0.05</v>
      </c>
      <c r="N73" s="76">
        <v>0</v>
      </c>
    </row>
    <row r="74" spans="1:14" ht="12.75">
      <c r="A74" s="22" t="s">
        <v>74</v>
      </c>
      <c r="B74" s="23"/>
      <c r="C74" s="59" t="s">
        <v>19</v>
      </c>
      <c r="D74" s="38">
        <v>0.6</v>
      </c>
      <c r="E74" s="38">
        <v>0.6</v>
      </c>
      <c r="F74" s="38">
        <v>0.6</v>
      </c>
      <c r="G74" s="38">
        <v>0.6</v>
      </c>
      <c r="H74" s="38">
        <v>0.6</v>
      </c>
      <c r="I74" s="38">
        <v>0.6</v>
      </c>
      <c r="J74" s="38">
        <v>0.6</v>
      </c>
      <c r="K74" s="38">
        <v>0.6</v>
      </c>
      <c r="L74" s="38">
        <v>0.6</v>
      </c>
      <c r="M74" s="38">
        <v>0.6</v>
      </c>
      <c r="N74" s="38">
        <v>0.6</v>
      </c>
    </row>
    <row r="75" spans="1:14" ht="12.75">
      <c r="A75" s="22" t="s">
        <v>75</v>
      </c>
      <c r="B75" s="23"/>
      <c r="C75" s="60" t="s">
        <v>19</v>
      </c>
      <c r="D75" s="38">
        <v>0.2</v>
      </c>
      <c r="E75" s="38">
        <v>0.2</v>
      </c>
      <c r="F75" s="38">
        <v>0.2</v>
      </c>
      <c r="G75" s="38">
        <v>0.2</v>
      </c>
      <c r="H75" s="38">
        <v>0.2</v>
      </c>
      <c r="I75" s="38">
        <v>0.2</v>
      </c>
      <c r="J75" s="38">
        <v>0.2</v>
      </c>
      <c r="K75" s="38">
        <v>0.2</v>
      </c>
      <c r="L75" s="38">
        <v>0.2</v>
      </c>
      <c r="M75" s="38">
        <v>0.2</v>
      </c>
      <c r="N75" s="38">
        <v>0.2</v>
      </c>
    </row>
    <row r="76" spans="1:14" ht="15.75">
      <c r="A76" s="22" t="s">
        <v>86</v>
      </c>
      <c r="B76" s="23"/>
      <c r="C76" s="60" t="s">
        <v>19</v>
      </c>
      <c r="D76" s="76">
        <v>0</v>
      </c>
      <c r="E76" s="76">
        <v>0.05</v>
      </c>
      <c r="F76" s="76">
        <v>0.1</v>
      </c>
      <c r="G76" s="76">
        <v>0.15</v>
      </c>
      <c r="H76" s="76">
        <v>0.2</v>
      </c>
      <c r="I76" s="76">
        <v>0.2</v>
      </c>
      <c r="J76" s="76">
        <v>0.2</v>
      </c>
      <c r="K76" s="76">
        <v>0.15</v>
      </c>
      <c r="L76" s="76">
        <v>0.1</v>
      </c>
      <c r="M76" s="76">
        <v>0.05</v>
      </c>
      <c r="N76" s="76">
        <v>0</v>
      </c>
    </row>
    <row r="78" spans="1:14" ht="15.75">
      <c r="A78" s="24" t="s">
        <v>87</v>
      </c>
      <c r="B78" s="25"/>
      <c r="C78" s="26"/>
      <c r="D78" s="20" t="s">
        <v>88</v>
      </c>
      <c r="E78" s="44">
        <f>(J68-I68)*(0.5*D69+E69+F69+G69+H69+I69+J69+K69+L69+M69+0.5*N69)</f>
        <v>-0.6</v>
      </c>
      <c r="F78" s="70" t="s">
        <v>34</v>
      </c>
      <c r="G78" s="34"/>
      <c r="H78" s="24" t="s">
        <v>98</v>
      </c>
      <c r="I78" s="25"/>
      <c r="J78" s="26"/>
      <c r="K78" s="20" t="s">
        <v>101</v>
      </c>
      <c r="L78" s="44">
        <f>(J68-I68)*(0.5*D73+E73+F73+G73+H73+I73+J73+K73+L73+M73+0.5*N73)</f>
        <v>1.2</v>
      </c>
      <c r="M78" s="70" t="s">
        <v>34</v>
      </c>
      <c r="N78" s="34"/>
    </row>
    <row r="79" spans="1:14" ht="15.75">
      <c r="A79" s="47" t="s">
        <v>89</v>
      </c>
      <c r="B79" s="48"/>
      <c r="C79" s="49"/>
      <c r="D79" s="20" t="s">
        <v>90</v>
      </c>
      <c r="E79" s="44">
        <f>(J68-I68)*(J68-I68)*((-2.5)*D69+(-4)*E69+(-3)*F69+(-2)*G69-H69+J69+2*K69+3*L69+4*M69+2.5*N69)</f>
        <v>-2.7755575615628914E-17</v>
      </c>
      <c r="F79" s="70" t="s">
        <v>91</v>
      </c>
      <c r="G79" s="34"/>
      <c r="H79" s="47" t="s">
        <v>99</v>
      </c>
      <c r="I79" s="48"/>
      <c r="J79" s="49"/>
      <c r="K79" s="20" t="s">
        <v>102</v>
      </c>
      <c r="L79" s="44">
        <f>(J68-I68)*(J68-I68)*((-2.5)*D73+(-4)*E73+(-3)*F73+(-2)*G73-H73+J73+2*K73+3*L73+4*M73+2.5*N73)</f>
        <v>5.551115123125783E-17</v>
      </c>
      <c r="M79" s="70" t="s">
        <v>91</v>
      </c>
      <c r="N79" s="34"/>
    </row>
    <row r="80" spans="1:14" ht="15.75">
      <c r="A80" s="63"/>
      <c r="B80" s="64"/>
      <c r="C80" s="65"/>
      <c r="D80" s="20" t="s">
        <v>92</v>
      </c>
      <c r="E80" s="44">
        <f>(J68-I68)*(0.5*D69*D71+E69*E71+F69*F71+G69*G71+H69*H71+I69*I71+J69*J71+K69*K71+L69*L71+M69*M71+0.5*N69*N71)</f>
        <v>0.12000000000000002</v>
      </c>
      <c r="F80" s="70" t="s">
        <v>35</v>
      </c>
      <c r="G80" s="34"/>
      <c r="H80" s="63"/>
      <c r="I80" s="64"/>
      <c r="J80" s="65"/>
      <c r="K80" s="20" t="s">
        <v>103</v>
      </c>
      <c r="L80" s="44">
        <f>(J68-I68)*(0.5*D73*D75+E73*E75+F73*F75+G73*G75+H73*H75+I73*I75+J73*J75+K73*K75+L73*L75+M73*M75+0.5*N73*N75)</f>
        <v>0.24000000000000005</v>
      </c>
      <c r="M80" s="70" t="s">
        <v>35</v>
      </c>
      <c r="N80" s="34"/>
    </row>
    <row r="81" spans="1:14" ht="15.75">
      <c r="A81" s="66"/>
      <c r="B81" s="67"/>
      <c r="C81" s="68"/>
      <c r="D81" s="20" t="s">
        <v>93</v>
      </c>
      <c r="E81" s="44">
        <f>(J68-I68)*(0.5*D69*D70+E69*E70+F69*F70+G69*G70+H69*H70+I69*I70+J69*J70+K69*K70+L69*L70+M69*M70+0.5*N69*N70)</f>
        <v>-0.12000000000000002</v>
      </c>
      <c r="F81" s="70" t="s">
        <v>35</v>
      </c>
      <c r="G81" s="34"/>
      <c r="H81" s="66"/>
      <c r="I81" s="67"/>
      <c r="J81" s="68"/>
      <c r="K81" s="20" t="s">
        <v>104</v>
      </c>
      <c r="L81" s="44">
        <f>(J68-I68)*(0.5*D73*D74+E73*E74+F73*F74+G73*G74+H73*H74+I73*I74+J73*J74+K73*K74+L73*L74+M73*M74+0.5*N73*N74)</f>
        <v>0.72</v>
      </c>
      <c r="M81" s="70" t="s">
        <v>35</v>
      </c>
      <c r="N81" s="34"/>
    </row>
    <row r="82" spans="1:14" ht="15.75">
      <c r="A82" s="63" t="s">
        <v>94</v>
      </c>
      <c r="B82" s="64"/>
      <c r="C82" s="49"/>
      <c r="D82" s="20" t="s">
        <v>95</v>
      </c>
      <c r="E82" s="44">
        <f>E79/E78</f>
        <v>4.625929269271486E-17</v>
      </c>
      <c r="F82" s="70" t="s">
        <v>19</v>
      </c>
      <c r="G82" s="34"/>
      <c r="H82" s="63" t="s">
        <v>100</v>
      </c>
      <c r="I82" s="64"/>
      <c r="J82" s="49"/>
      <c r="K82" s="20" t="s">
        <v>105</v>
      </c>
      <c r="L82" s="44">
        <f>L79/L78</f>
        <v>4.625929269271486E-17</v>
      </c>
      <c r="M82" s="70" t="s">
        <v>19</v>
      </c>
      <c r="N82" s="34"/>
    </row>
    <row r="83" spans="1:14" ht="15.75">
      <c r="A83" s="63"/>
      <c r="B83" s="64"/>
      <c r="C83" s="65"/>
      <c r="D83" s="20" t="s">
        <v>96</v>
      </c>
      <c r="E83" s="44">
        <f>E80/E78</f>
        <v>-0.20000000000000004</v>
      </c>
      <c r="F83" s="70" t="s">
        <v>19</v>
      </c>
      <c r="G83" s="34"/>
      <c r="H83" s="63"/>
      <c r="I83" s="64"/>
      <c r="J83" s="65"/>
      <c r="K83" s="20" t="s">
        <v>106</v>
      </c>
      <c r="L83" s="44">
        <f>L80/L78</f>
        <v>0.20000000000000004</v>
      </c>
      <c r="M83" s="70" t="s">
        <v>19</v>
      </c>
      <c r="N83" s="34"/>
    </row>
    <row r="84" spans="1:14" ht="15.75">
      <c r="A84" s="66"/>
      <c r="B84" s="67"/>
      <c r="C84" s="68"/>
      <c r="D84" s="69" t="s">
        <v>97</v>
      </c>
      <c r="E84" s="44">
        <f>E81/E78</f>
        <v>0.20000000000000004</v>
      </c>
      <c r="F84" s="70" t="s">
        <v>19</v>
      </c>
      <c r="G84" s="34"/>
      <c r="H84" s="66"/>
      <c r="I84" s="67"/>
      <c r="J84" s="68"/>
      <c r="K84" s="69" t="s">
        <v>107</v>
      </c>
      <c r="L84" s="44">
        <f>L81/L78</f>
        <v>0.6</v>
      </c>
      <c r="M84" s="70" t="s">
        <v>19</v>
      </c>
      <c r="N84" s="34"/>
    </row>
    <row r="85" spans="1:13" ht="15.75">
      <c r="A85" s="22" t="s">
        <v>52</v>
      </c>
      <c r="B85" s="23"/>
      <c r="C85" s="21"/>
      <c r="D85" s="71" t="s">
        <v>108</v>
      </c>
      <c r="E85" s="44">
        <f>(0.5*(D76-D72)+E76-E72+F76-F72+G76-G72+H76-H72+I76-I72+J76-J72+K76-K72+L76-L72+M76-M72+0.5*(N76-N72))*(J68-I68)</f>
        <v>1.8</v>
      </c>
      <c r="F85" s="59" t="s">
        <v>33</v>
      </c>
      <c r="H85" s="22" t="s">
        <v>53</v>
      </c>
      <c r="I85" s="23"/>
      <c r="J85" s="21"/>
      <c r="K85" s="71" t="s">
        <v>114</v>
      </c>
      <c r="L85" s="75">
        <f>0.5*(L78+E78)/E85</f>
        <v>0.16666666666666666</v>
      </c>
      <c r="M85" s="59" t="s">
        <v>19</v>
      </c>
    </row>
    <row r="86" spans="1:13" ht="15.75">
      <c r="A86" s="27" t="s">
        <v>111</v>
      </c>
      <c r="B86" s="28"/>
      <c r="C86" s="29"/>
      <c r="D86" s="71" t="s">
        <v>112</v>
      </c>
      <c r="E86" s="44">
        <f>(J68-I68)*(J68-I68)*((-2.5)*(D76-D72)+(-4)*(E76-E72)+(-3)*(F76-F72)+(-2)*(G76-G72)-(H76-H72)+J76-J72+2*(K76-K72)+3*(L76-L72)+4*(M76-M72)+2.5*(N76-N72))</f>
        <v>-1.1102230246251565E-16</v>
      </c>
      <c r="F86" s="60" t="s">
        <v>19</v>
      </c>
      <c r="H86" s="27" t="s">
        <v>115</v>
      </c>
      <c r="I86" s="28"/>
      <c r="J86" s="29"/>
      <c r="K86" s="71" t="s">
        <v>131</v>
      </c>
      <c r="L86" s="75">
        <f>L85*COS((C35*PI()/180))/SIN((C67*PI()/180)-(C35*PI()/180))</f>
        <v>0.6220084679281462</v>
      </c>
      <c r="M86" s="115">
        <f>M54+L86</f>
        <v>1.2659590187875251</v>
      </c>
    </row>
    <row r="87" spans="1:13" ht="15.75">
      <c r="A87" s="30"/>
      <c r="B87" s="31"/>
      <c r="C87" s="32"/>
      <c r="D87" s="71" t="s">
        <v>113</v>
      </c>
      <c r="E87" s="44">
        <f>0.5*(J68-I68)*(0.5*(D76-D72)*(D76+B36)+(E76-E72)*(E76+E72)+(F76-F72)*(F76+F72)+(G76-G72)*(G76+G72)+(H76-H72)*(H76+H72)+(I76-I72)*(I76+I72)+(J76-J72)*(J76+J72)+(K76-K72)*(K76+K72)+(L76-L72)*(L76+L72)+(M76-M72)*(M76+M72)+0.5*(N76-N72)*(N76+N72))</f>
        <v>0.07125000000000001</v>
      </c>
      <c r="F87" s="60" t="s">
        <v>19</v>
      </c>
      <c r="H87" s="30"/>
      <c r="I87" s="31"/>
      <c r="J87" s="32"/>
      <c r="K87" s="71" t="s">
        <v>128</v>
      </c>
      <c r="L87" s="75">
        <f>L85*SIN((C35*PI()/180))/SIN((C67*PI()/180)-(C35*PI()/180))</f>
        <v>0.16666666666666666</v>
      </c>
      <c r="M87" s="115">
        <f>M55+L87</f>
        <v>0.16666666666666666</v>
      </c>
    </row>
    <row r="88" spans="1:13" ht="15.75">
      <c r="A88" s="27" t="s">
        <v>127</v>
      </c>
      <c r="B88" s="28"/>
      <c r="C88" s="29"/>
      <c r="D88" s="71" t="s">
        <v>109</v>
      </c>
      <c r="E88" s="44">
        <f>E86/E85</f>
        <v>-6.167905692361981E-17</v>
      </c>
      <c r="F88" s="59" t="s">
        <v>19</v>
      </c>
      <c r="H88" s="27" t="s">
        <v>118</v>
      </c>
      <c r="I88" s="28"/>
      <c r="J88" s="29"/>
      <c r="K88" s="71" t="s">
        <v>116</v>
      </c>
      <c r="L88" s="75">
        <f>E88</f>
        <v>-6.167905692361981E-17</v>
      </c>
      <c r="M88" s="59" t="s">
        <v>19</v>
      </c>
    </row>
    <row r="89" spans="1:13" ht="15.75">
      <c r="A89" s="30"/>
      <c r="B89" s="31"/>
      <c r="C89" s="32"/>
      <c r="D89" s="71" t="s">
        <v>110</v>
      </c>
      <c r="E89" s="44">
        <f>E87/E85</f>
        <v>0.03958333333333334</v>
      </c>
      <c r="F89" s="59" t="s">
        <v>19</v>
      </c>
      <c r="H89" s="34"/>
      <c r="I89" s="9"/>
      <c r="J89" s="35"/>
      <c r="K89" s="71" t="s">
        <v>117</v>
      </c>
      <c r="L89" s="75">
        <f>L54+E89*COS(C67*PI()/180)+0.5*L85*SIN(C67*PI()/180)</f>
        <v>0.7198973897591796</v>
      </c>
      <c r="M89" s="59" t="s">
        <v>19</v>
      </c>
    </row>
    <row r="90" spans="8:13" ht="15.75">
      <c r="H90" s="30"/>
      <c r="I90" s="31"/>
      <c r="J90" s="32"/>
      <c r="K90" s="71" t="s">
        <v>245</v>
      </c>
      <c r="L90" s="75">
        <f>0.462+L55+E89*SIN(C67*PI()/180)-0.5*L85*COS(C67*PI()/180)</f>
        <v>0.40962288301796346</v>
      </c>
      <c r="M90" s="59" t="s">
        <v>19</v>
      </c>
    </row>
    <row r="91" spans="4:10" ht="15.75">
      <c r="D91" s="27" t="s">
        <v>26</v>
      </c>
      <c r="E91" s="28"/>
      <c r="F91" s="29"/>
      <c r="G91" s="20" t="s">
        <v>119</v>
      </c>
      <c r="H91" s="44">
        <f>E6*H62+L78*L82-2*E85*L85*L88+E78*E82</f>
        <v>1.2952601953960158E-16</v>
      </c>
      <c r="I91" s="23" t="s">
        <v>56</v>
      </c>
      <c r="J91" s="21"/>
    </row>
    <row r="92" spans="4:13" ht="15.75">
      <c r="D92" s="34"/>
      <c r="E92" s="9"/>
      <c r="F92" s="35"/>
      <c r="G92" s="20" t="s">
        <v>120</v>
      </c>
      <c r="H92" s="44">
        <f>E6*H63+L78*L83-2*E85*L85*L89+E78*E83</f>
        <v>0.252179875515001</v>
      </c>
      <c r="I92" s="23" t="s">
        <v>37</v>
      </c>
      <c r="J92" s="21"/>
      <c r="K92" s="117" t="s">
        <v>250</v>
      </c>
      <c r="M92" s="54"/>
    </row>
    <row r="93" spans="4:13" ht="15.75">
      <c r="D93" s="30"/>
      <c r="E93" s="31"/>
      <c r="F93" s="32"/>
      <c r="G93" s="20" t="s">
        <v>121</v>
      </c>
      <c r="H93" s="44">
        <f>E6*H64+L78*L84-2*E85*L85*L90+E78*E84</f>
        <v>10.719175609182493</v>
      </c>
      <c r="I93" s="23" t="s">
        <v>36</v>
      </c>
      <c r="J93" s="21"/>
      <c r="M93" s="54"/>
    </row>
    <row r="94" spans="4:13" ht="12.75">
      <c r="D94" s="27" t="s">
        <v>122</v>
      </c>
      <c r="E94" s="28"/>
      <c r="F94" s="29"/>
      <c r="G94" s="20" t="s">
        <v>124</v>
      </c>
      <c r="H94" s="44">
        <f>H91/E6</f>
        <v>1.2952601953960158E-17</v>
      </c>
      <c r="I94" s="33" t="s">
        <v>55</v>
      </c>
      <c r="J94" s="21"/>
      <c r="M94" s="54"/>
    </row>
    <row r="95" spans="4:10" ht="12.75">
      <c r="D95" s="34"/>
      <c r="E95" s="9"/>
      <c r="F95" s="35"/>
      <c r="G95" s="20" t="s">
        <v>125</v>
      </c>
      <c r="H95" s="44">
        <f>H92/E6</f>
        <v>0.0252179875515001</v>
      </c>
      <c r="I95" s="33" t="s">
        <v>32</v>
      </c>
      <c r="J95" s="21"/>
    </row>
    <row r="96" spans="4:10" ht="12.75">
      <c r="D96" s="30"/>
      <c r="E96" s="31"/>
      <c r="F96" s="32"/>
      <c r="G96" s="72" t="s">
        <v>123</v>
      </c>
      <c r="H96" s="44">
        <f>H93/E6</f>
        <v>1.0719175609182492</v>
      </c>
      <c r="I96" s="33" t="s">
        <v>24</v>
      </c>
      <c r="J96" s="21"/>
    </row>
    <row r="97" spans="4:10" ht="12.75">
      <c r="D97" s="22" t="s">
        <v>59</v>
      </c>
      <c r="E97" s="23"/>
      <c r="F97" s="21"/>
      <c r="G97" s="72" t="s">
        <v>126</v>
      </c>
      <c r="H97" s="44">
        <f>(H95+(H96-E10)*TAN(C67*PI()/180))*COS(C67*PI()/180)-M8*SIN(C67*PI()/180)</f>
        <v>0.05779819831104341</v>
      </c>
      <c r="I97" s="33" t="s">
        <v>19</v>
      </c>
      <c r="J97" s="21"/>
    </row>
    <row r="99" spans="1:14" ht="12.75">
      <c r="A99" s="51" t="s">
        <v>51</v>
      </c>
      <c r="B99" s="50"/>
      <c r="C99" s="52">
        <v>45</v>
      </c>
      <c r="D99" s="12">
        <v>0</v>
      </c>
      <c r="E99" s="46">
        <v>1</v>
      </c>
      <c r="F99" s="12">
        <v>2</v>
      </c>
      <c r="G99" s="12">
        <v>3</v>
      </c>
      <c r="H99" s="12">
        <v>4</v>
      </c>
      <c r="I99" s="12">
        <v>5</v>
      </c>
      <c r="J99" s="12">
        <v>6</v>
      </c>
      <c r="K99" s="12">
        <v>7</v>
      </c>
      <c r="L99" s="12">
        <v>8</v>
      </c>
      <c r="M99" s="12">
        <v>9</v>
      </c>
      <c r="N99" s="12">
        <v>10</v>
      </c>
    </row>
    <row r="100" spans="1:14" ht="12.75">
      <c r="A100" s="22" t="s">
        <v>23</v>
      </c>
      <c r="B100" s="23"/>
      <c r="C100" s="59" t="s">
        <v>19</v>
      </c>
      <c r="D100" s="106">
        <v>-1</v>
      </c>
      <c r="E100" s="106">
        <v>-1</v>
      </c>
      <c r="F100" s="106">
        <v>-1</v>
      </c>
      <c r="G100" s="106">
        <v>-1</v>
      </c>
      <c r="H100" s="106">
        <v>-1</v>
      </c>
      <c r="I100" s="5">
        <v>0</v>
      </c>
      <c r="J100" s="4">
        <v>1</v>
      </c>
      <c r="K100" s="4">
        <v>1</v>
      </c>
      <c r="L100" s="4">
        <v>1</v>
      </c>
      <c r="M100" s="4">
        <v>1</v>
      </c>
      <c r="N100" s="4">
        <v>1</v>
      </c>
    </row>
    <row r="101" spans="1:14" ht="14.25">
      <c r="A101" s="22" t="s">
        <v>83</v>
      </c>
      <c r="B101" s="23"/>
      <c r="C101" s="59" t="s">
        <v>33</v>
      </c>
      <c r="D101" s="76">
        <v>0</v>
      </c>
      <c r="E101" s="77">
        <v>-0.025</v>
      </c>
      <c r="F101" s="76">
        <v>-0.05</v>
      </c>
      <c r="G101" s="76">
        <v>-0.075</v>
      </c>
      <c r="H101" s="76">
        <v>-0.1</v>
      </c>
      <c r="I101" s="76">
        <v>-0.1</v>
      </c>
      <c r="J101" s="76">
        <v>-0.1</v>
      </c>
      <c r="K101" s="76">
        <v>-0.075</v>
      </c>
      <c r="L101" s="76">
        <v>-0.05</v>
      </c>
      <c r="M101" s="76">
        <v>-0.025</v>
      </c>
      <c r="N101" s="76">
        <v>0</v>
      </c>
    </row>
    <row r="102" spans="1:14" ht="12.75">
      <c r="A102" s="22" t="s">
        <v>74</v>
      </c>
      <c r="B102" s="23"/>
      <c r="C102" s="59" t="s">
        <v>19</v>
      </c>
      <c r="D102" s="38">
        <v>0.2</v>
      </c>
      <c r="E102" s="38">
        <v>0.2</v>
      </c>
      <c r="F102" s="38">
        <v>0.2</v>
      </c>
      <c r="G102" s="38">
        <v>0.2</v>
      </c>
      <c r="H102" s="38">
        <v>0.2</v>
      </c>
      <c r="I102" s="38">
        <v>0.2</v>
      </c>
      <c r="J102" s="38">
        <v>0.2</v>
      </c>
      <c r="K102" s="38">
        <v>0.2</v>
      </c>
      <c r="L102" s="38">
        <v>0.2</v>
      </c>
      <c r="M102" s="38">
        <v>0.2</v>
      </c>
      <c r="N102" s="38">
        <v>0.2</v>
      </c>
    </row>
    <row r="103" spans="1:14" ht="12.75">
      <c r="A103" s="27" t="s">
        <v>75</v>
      </c>
      <c r="B103" s="9"/>
      <c r="C103" s="62" t="s">
        <v>19</v>
      </c>
      <c r="D103" s="38">
        <v>-0.2</v>
      </c>
      <c r="E103" s="38">
        <v>-0.2</v>
      </c>
      <c r="F103" s="38">
        <v>-0.2</v>
      </c>
      <c r="G103" s="38">
        <v>-0.2</v>
      </c>
      <c r="H103" s="38">
        <v>-0.2</v>
      </c>
      <c r="I103" s="38">
        <v>-0.2</v>
      </c>
      <c r="J103" s="38">
        <v>-0.2</v>
      </c>
      <c r="K103" s="38">
        <v>-0.2</v>
      </c>
      <c r="L103" s="38">
        <v>-0.2</v>
      </c>
      <c r="M103" s="38">
        <v>-0.2</v>
      </c>
      <c r="N103" s="38">
        <v>-0.2</v>
      </c>
    </row>
    <row r="104" spans="1:14" ht="15.75">
      <c r="A104" s="22" t="s">
        <v>85</v>
      </c>
      <c r="B104" s="23"/>
      <c r="C104" s="60" t="s">
        <v>19</v>
      </c>
      <c r="D104" s="76">
        <v>0</v>
      </c>
      <c r="E104" s="77">
        <v>-0.025</v>
      </c>
      <c r="F104" s="76">
        <v>-0.05</v>
      </c>
      <c r="G104" s="76">
        <v>-0.075</v>
      </c>
      <c r="H104" s="76">
        <v>-0.1</v>
      </c>
      <c r="I104" s="76">
        <v>-0.1</v>
      </c>
      <c r="J104" s="76">
        <v>-0.1</v>
      </c>
      <c r="K104" s="76">
        <v>-0.075</v>
      </c>
      <c r="L104" s="76">
        <v>-0.05</v>
      </c>
      <c r="M104" s="76">
        <v>-0.025</v>
      </c>
      <c r="N104" s="76">
        <v>0</v>
      </c>
    </row>
    <row r="105" spans="1:14" ht="14.25">
      <c r="A105" s="22" t="s">
        <v>84</v>
      </c>
      <c r="B105" s="23"/>
      <c r="C105" s="59" t="s">
        <v>33</v>
      </c>
      <c r="D105" s="76">
        <v>0</v>
      </c>
      <c r="E105" s="76">
        <v>0.05</v>
      </c>
      <c r="F105" s="76">
        <v>0.1</v>
      </c>
      <c r="G105" s="76">
        <v>0.15</v>
      </c>
      <c r="H105" s="76">
        <v>0.2</v>
      </c>
      <c r="I105" s="76">
        <v>0.2</v>
      </c>
      <c r="J105" s="76">
        <v>0.2</v>
      </c>
      <c r="K105" s="76">
        <v>0.15</v>
      </c>
      <c r="L105" s="76">
        <v>0.1</v>
      </c>
      <c r="M105" s="76">
        <v>0.05</v>
      </c>
      <c r="N105" s="76">
        <v>0</v>
      </c>
    </row>
    <row r="106" spans="1:14" ht="12.75">
      <c r="A106" s="22" t="s">
        <v>74</v>
      </c>
      <c r="B106" s="23"/>
      <c r="C106" s="59" t="s">
        <v>19</v>
      </c>
      <c r="D106" s="38">
        <v>0.6</v>
      </c>
      <c r="E106" s="38">
        <v>0.6</v>
      </c>
      <c r="F106" s="38">
        <v>0.6</v>
      </c>
      <c r="G106" s="38">
        <v>0.6</v>
      </c>
      <c r="H106" s="38">
        <v>0.6</v>
      </c>
      <c r="I106" s="38">
        <v>0.6</v>
      </c>
      <c r="J106" s="38">
        <v>0.6</v>
      </c>
      <c r="K106" s="38">
        <v>0.6</v>
      </c>
      <c r="L106" s="38">
        <v>0.6</v>
      </c>
      <c r="M106" s="38">
        <v>0.6</v>
      </c>
      <c r="N106" s="38">
        <v>0.6</v>
      </c>
    </row>
    <row r="107" spans="1:14" ht="12.75">
      <c r="A107" s="22" t="s">
        <v>75</v>
      </c>
      <c r="B107" s="23"/>
      <c r="C107" s="60" t="s">
        <v>19</v>
      </c>
      <c r="D107" s="38">
        <v>0.2</v>
      </c>
      <c r="E107" s="38">
        <v>0.2</v>
      </c>
      <c r="F107" s="38">
        <v>0.2</v>
      </c>
      <c r="G107" s="38">
        <v>0.2</v>
      </c>
      <c r="H107" s="38">
        <v>0.2</v>
      </c>
      <c r="I107" s="38">
        <v>0.2</v>
      </c>
      <c r="J107" s="38">
        <v>0.2</v>
      </c>
      <c r="K107" s="38">
        <v>0.2</v>
      </c>
      <c r="L107" s="38">
        <v>0.2</v>
      </c>
      <c r="M107" s="38">
        <v>0.2</v>
      </c>
      <c r="N107" s="38">
        <v>0.2</v>
      </c>
    </row>
    <row r="108" spans="1:14" ht="15.75">
      <c r="A108" s="22" t="s">
        <v>86</v>
      </c>
      <c r="B108" s="23"/>
      <c r="C108" s="60" t="s">
        <v>19</v>
      </c>
      <c r="D108" s="76">
        <v>0</v>
      </c>
      <c r="E108" s="76">
        <v>0.05</v>
      </c>
      <c r="F108" s="76">
        <v>0.1</v>
      </c>
      <c r="G108" s="76">
        <v>0.15</v>
      </c>
      <c r="H108" s="76">
        <v>0.2</v>
      </c>
      <c r="I108" s="76">
        <v>0.2</v>
      </c>
      <c r="J108" s="76">
        <v>0.2</v>
      </c>
      <c r="K108" s="76">
        <v>0.15</v>
      </c>
      <c r="L108" s="76">
        <v>0.1</v>
      </c>
      <c r="M108" s="76">
        <v>0.05</v>
      </c>
      <c r="N108" s="76">
        <v>0</v>
      </c>
    </row>
    <row r="110" spans="1:14" ht="15.75">
      <c r="A110" s="24" t="s">
        <v>87</v>
      </c>
      <c r="B110" s="25"/>
      <c r="C110" s="26"/>
      <c r="D110" s="20" t="s">
        <v>88</v>
      </c>
      <c r="E110" s="44">
        <f>(J100-I100)*(0.5*D101+E101+F101+G101+H101+I101+J101+K101+L101+M101+0.5*N101)</f>
        <v>-0.6</v>
      </c>
      <c r="F110" s="70" t="s">
        <v>34</v>
      </c>
      <c r="G110" s="34"/>
      <c r="H110" s="24" t="s">
        <v>98</v>
      </c>
      <c r="I110" s="25"/>
      <c r="J110" s="26"/>
      <c r="K110" s="20" t="s">
        <v>101</v>
      </c>
      <c r="L110" s="44">
        <f>(J100-I100)*(0.5*D105+E105+F105+G105+H105+I105+J105+K105+L105+M105+0.5*N105)</f>
        <v>1.2</v>
      </c>
      <c r="M110" s="70" t="s">
        <v>34</v>
      </c>
      <c r="N110" s="34"/>
    </row>
    <row r="111" spans="1:14" ht="15.75">
      <c r="A111" s="47" t="s">
        <v>89</v>
      </c>
      <c r="B111" s="48"/>
      <c r="C111" s="49"/>
      <c r="D111" s="20" t="s">
        <v>90</v>
      </c>
      <c r="E111" s="44">
        <f>(J100-I100)*(J100-I100)*((-2.5)*D101+(-4)*E101+(-3)*F101+(-2)*G101-H101+J101+2*K101+3*L101+4*M101+2.5*N101)</f>
        <v>-2.7755575615628914E-17</v>
      </c>
      <c r="F111" s="70" t="s">
        <v>91</v>
      </c>
      <c r="G111" s="34"/>
      <c r="H111" s="47" t="s">
        <v>99</v>
      </c>
      <c r="I111" s="48"/>
      <c r="J111" s="49"/>
      <c r="K111" s="20" t="s">
        <v>102</v>
      </c>
      <c r="L111" s="44">
        <f>(J100-I100)*(J100-I100)*((-2.5)*D105+(-4)*E105+(-3)*F105+(-2)*G105-H105+J105+2*K105+3*L105+4*M105+2.5*N105)</f>
        <v>5.551115123125783E-17</v>
      </c>
      <c r="M111" s="70" t="s">
        <v>91</v>
      </c>
      <c r="N111" s="34"/>
    </row>
    <row r="112" spans="1:14" ht="15.75">
      <c r="A112" s="63"/>
      <c r="B112" s="64"/>
      <c r="C112" s="65"/>
      <c r="D112" s="20" t="s">
        <v>92</v>
      </c>
      <c r="E112" s="44">
        <f>(J100-I100)*(0.5*D101*D103+E101*E103+F101*F103+G101*G103+H101*H103+I101*I103+J101*J103+K101*K103+L101*L103+M101*M103+0.5*N101*N103)</f>
        <v>0.12000000000000002</v>
      </c>
      <c r="F112" s="70" t="s">
        <v>35</v>
      </c>
      <c r="G112" s="34"/>
      <c r="H112" s="63"/>
      <c r="I112" s="64"/>
      <c r="J112" s="65"/>
      <c r="K112" s="20" t="s">
        <v>103</v>
      </c>
      <c r="L112" s="44">
        <f>(J100-I100)*(0.5*D105*D107+E105*E107+F105*F107+G105*G107+H105*H107+I105*I107+J105*J107+K105*K107+L105*L107+M105*M107+0.5*N105*N107)</f>
        <v>0.24000000000000005</v>
      </c>
      <c r="M112" s="70" t="s">
        <v>35</v>
      </c>
      <c r="N112" s="34"/>
    </row>
    <row r="113" spans="1:14" ht="15.75">
      <c r="A113" s="66"/>
      <c r="B113" s="67"/>
      <c r="C113" s="68"/>
      <c r="D113" s="20" t="s">
        <v>93</v>
      </c>
      <c r="E113" s="44">
        <f>(J100-I100)*(0.5*D101*D102+E101*E102+F101*F102+G101*G102+H101*H102+I101*I102+J101*J102+K101*K102+L101*L102+M101*M102+0.5*N101*N102)</f>
        <v>-0.12000000000000002</v>
      </c>
      <c r="F113" s="70" t="s">
        <v>35</v>
      </c>
      <c r="G113" s="34"/>
      <c r="H113" s="66"/>
      <c r="I113" s="67"/>
      <c r="J113" s="68"/>
      <c r="K113" s="20" t="s">
        <v>104</v>
      </c>
      <c r="L113" s="44">
        <f>(J100-I100)*(0.5*D105*D106+E105*E106+F105*F106+G105*G106+H105*H106+I105*I106+J105*J106+K105*K106+L105*L106+M105*M106+0.5*N105*N106)</f>
        <v>0.72</v>
      </c>
      <c r="M113" s="70" t="s">
        <v>35</v>
      </c>
      <c r="N113" s="34"/>
    </row>
    <row r="114" spans="1:14" ht="15.75">
      <c r="A114" s="63" t="s">
        <v>94</v>
      </c>
      <c r="B114" s="64"/>
      <c r="C114" s="49"/>
      <c r="D114" s="20" t="s">
        <v>95</v>
      </c>
      <c r="E114" s="44">
        <f>E111/E110</f>
        <v>4.625929269271486E-17</v>
      </c>
      <c r="F114" s="70" t="s">
        <v>19</v>
      </c>
      <c r="G114" s="34"/>
      <c r="H114" s="63" t="s">
        <v>100</v>
      </c>
      <c r="I114" s="64"/>
      <c r="J114" s="49"/>
      <c r="K114" s="20" t="s">
        <v>105</v>
      </c>
      <c r="L114" s="44">
        <f>L111/L110</f>
        <v>4.625929269271486E-17</v>
      </c>
      <c r="M114" s="70" t="s">
        <v>19</v>
      </c>
      <c r="N114" s="34"/>
    </row>
    <row r="115" spans="1:14" ht="15.75">
      <c r="A115" s="63"/>
      <c r="B115" s="64"/>
      <c r="C115" s="65"/>
      <c r="D115" s="20" t="s">
        <v>96</v>
      </c>
      <c r="E115" s="44">
        <f>E112/E110</f>
        <v>-0.20000000000000004</v>
      </c>
      <c r="F115" s="70" t="s">
        <v>19</v>
      </c>
      <c r="G115" s="34"/>
      <c r="H115" s="63"/>
      <c r="I115" s="64"/>
      <c r="J115" s="65"/>
      <c r="K115" s="20" t="s">
        <v>106</v>
      </c>
      <c r="L115" s="44">
        <f>L112/L110</f>
        <v>0.20000000000000004</v>
      </c>
      <c r="M115" s="70" t="s">
        <v>19</v>
      </c>
      <c r="N115" s="34"/>
    </row>
    <row r="116" spans="1:14" ht="15.75">
      <c r="A116" s="66"/>
      <c r="B116" s="67"/>
      <c r="C116" s="68"/>
      <c r="D116" s="69" t="s">
        <v>97</v>
      </c>
      <c r="E116" s="44">
        <f>E113/E110</f>
        <v>0.20000000000000004</v>
      </c>
      <c r="F116" s="70" t="s">
        <v>19</v>
      </c>
      <c r="G116" s="34"/>
      <c r="H116" s="66"/>
      <c r="I116" s="67"/>
      <c r="J116" s="68"/>
      <c r="K116" s="69" t="s">
        <v>107</v>
      </c>
      <c r="L116" s="44">
        <f>L113/L110</f>
        <v>0.6</v>
      </c>
      <c r="M116" s="70" t="s">
        <v>19</v>
      </c>
      <c r="N116" s="34"/>
    </row>
    <row r="117" spans="1:13" ht="15.75">
      <c r="A117" s="22" t="s">
        <v>52</v>
      </c>
      <c r="B117" s="23"/>
      <c r="C117" s="21"/>
      <c r="D117" s="71" t="s">
        <v>108</v>
      </c>
      <c r="E117" s="44">
        <f>(0.5*(D108-D104)+E108-E104+F108-F104+G108-G104+H108-H104+I108-I104+J108-J104+K108-K104+L108-L104+M108-M104+0.5*(N108-N104))*(J100-I100)</f>
        <v>1.8</v>
      </c>
      <c r="F117" s="59" t="s">
        <v>33</v>
      </c>
      <c r="H117" s="22" t="s">
        <v>53</v>
      </c>
      <c r="I117" s="23"/>
      <c r="J117" s="21"/>
      <c r="K117" s="71" t="s">
        <v>114</v>
      </c>
      <c r="L117" s="23">
        <f>0.5*(L110+E110)/E117</f>
        <v>0.16666666666666666</v>
      </c>
      <c r="M117" s="59" t="s">
        <v>19</v>
      </c>
    </row>
    <row r="118" spans="1:13" ht="15.75">
      <c r="A118" s="27" t="s">
        <v>111</v>
      </c>
      <c r="B118" s="28"/>
      <c r="C118" s="29"/>
      <c r="D118" s="71" t="s">
        <v>112</v>
      </c>
      <c r="E118" s="44">
        <f>(J100-I100)*(J100-I100)*((-2.5)*(D108-D104)+(-4)*(E108-E104)+(-3)*(F108-F104)+(-2)*(G108-G104)-(H108-H104)+J108-J104+2*(K108-K104)+3*(L108-L104)+4*(M108-M104)+2.5*(N108-N104))</f>
        <v>-1.1102230246251565E-16</v>
      </c>
      <c r="F118" s="60" t="s">
        <v>19</v>
      </c>
      <c r="H118" s="27" t="s">
        <v>115</v>
      </c>
      <c r="I118" s="28"/>
      <c r="J118" s="29"/>
      <c r="K118" s="71" t="s">
        <v>129</v>
      </c>
      <c r="L118" s="23">
        <f>L117*COS((C67*PI()/180))/SIN((C99*PI()/180)-(C67*PI()/180))</f>
        <v>0.5576775358252052</v>
      </c>
      <c r="M118" s="59">
        <f>M86+L118</f>
        <v>1.8236365546127304</v>
      </c>
    </row>
    <row r="119" spans="1:13" ht="15.75">
      <c r="A119" s="30"/>
      <c r="B119" s="31"/>
      <c r="C119" s="32"/>
      <c r="D119" s="71" t="s">
        <v>113</v>
      </c>
      <c r="E119" s="44">
        <f>0.5*(J100-I100)*(0.5*(D108-D104)*(D108+B68)+(E108-E104)*(E108+E104)+(F108-F104)*(F108+F104)+(G108-G104)*(G108+G104)+(H108-H104)*(H108+H104)+(I108-I104)*(I108+I104)+(J108-J104)*(J108+J104)+(K108-K104)*(K108+K104)+(L108-L104)*(L108+L104)+(M108-M104)*(M108+M104)+0.5*(N108-N104)*(N108+N104))</f>
        <v>0.07125000000000001</v>
      </c>
      <c r="F119" s="60" t="s">
        <v>19</v>
      </c>
      <c r="H119" s="30"/>
      <c r="I119" s="31"/>
      <c r="J119" s="32"/>
      <c r="K119" s="71" t="s">
        <v>130</v>
      </c>
      <c r="L119" s="23">
        <f>L117*SIN((C67*PI()/180))/SIN((C99*PI()/180)-(C67*PI()/180))</f>
        <v>0.3219752754296893</v>
      </c>
      <c r="M119" s="59">
        <f>M87+L119</f>
        <v>0.4886419420963559</v>
      </c>
    </row>
    <row r="120" spans="1:13" ht="15.75">
      <c r="A120" s="27" t="s">
        <v>127</v>
      </c>
      <c r="B120" s="28"/>
      <c r="C120" s="29"/>
      <c r="D120" s="71" t="s">
        <v>109</v>
      </c>
      <c r="E120" s="44">
        <f>E118/E117</f>
        <v>-6.167905692361981E-17</v>
      </c>
      <c r="F120" s="59" t="s">
        <v>19</v>
      </c>
      <c r="H120" s="27" t="s">
        <v>118</v>
      </c>
      <c r="I120" s="28"/>
      <c r="J120" s="29"/>
      <c r="K120" s="71" t="s">
        <v>116</v>
      </c>
      <c r="L120" s="75">
        <f>E120</f>
        <v>-6.167905692361981E-17</v>
      </c>
      <c r="M120" s="59" t="s">
        <v>19</v>
      </c>
    </row>
    <row r="121" spans="1:13" ht="15.75">
      <c r="A121" s="30"/>
      <c r="B121" s="31"/>
      <c r="C121" s="32"/>
      <c r="D121" s="71" t="s">
        <v>110</v>
      </c>
      <c r="E121" s="44">
        <f>E119/E117</f>
        <v>0.03958333333333334</v>
      </c>
      <c r="F121" s="59" t="s">
        <v>19</v>
      </c>
      <c r="H121" s="34"/>
      <c r="I121" s="9"/>
      <c r="J121" s="35"/>
      <c r="K121" s="71" t="s">
        <v>117</v>
      </c>
      <c r="L121" s="23">
        <f>M86+E121*COS(C99*PI()/180)+0.5*L117*SIN(C99*PI()/180)</f>
        <v>1.3528742273083716</v>
      </c>
      <c r="M121" s="59" t="s">
        <v>19</v>
      </c>
    </row>
    <row r="122" spans="8:13" ht="15.75">
      <c r="H122" s="30"/>
      <c r="I122" s="31"/>
      <c r="J122" s="32"/>
      <c r="K122" s="71" t="s">
        <v>245</v>
      </c>
      <c r="L122" s="23">
        <f>0.462+M87+E121*SIN(C99*PI()/180)-0.5*L117*COS(C99*PI()/180)</f>
        <v>0.5977307449897553</v>
      </c>
      <c r="M122" s="59" t="s">
        <v>19</v>
      </c>
    </row>
    <row r="123" spans="4:10" ht="15.75">
      <c r="D123" s="27" t="s">
        <v>26</v>
      </c>
      <c r="E123" s="28"/>
      <c r="F123" s="29"/>
      <c r="G123" s="20" t="s">
        <v>119</v>
      </c>
      <c r="H123" s="44">
        <f>E6*H94+L110*L114-2*E117*L117*L120+E110*E114</f>
        <v>1.9428902930940237E-16</v>
      </c>
      <c r="I123" s="23" t="s">
        <v>56</v>
      </c>
      <c r="J123" s="21"/>
    </row>
    <row r="124" spans="4:13" ht="15.75">
      <c r="D124" s="34"/>
      <c r="E124" s="9"/>
      <c r="F124" s="35"/>
      <c r="G124" s="20" t="s">
        <v>120</v>
      </c>
      <c r="H124" s="44">
        <f>E6*H95+L110*L115-2*E117*L117*L121+E110*E115</f>
        <v>-0.1995446608700219</v>
      </c>
      <c r="I124" s="23" t="s">
        <v>37</v>
      </c>
      <c r="J124" s="21"/>
      <c r="K124" s="117" t="s">
        <v>250</v>
      </c>
      <c r="M124" s="54"/>
    </row>
    <row r="125" spans="4:13" ht="15.75">
      <c r="D125" s="30"/>
      <c r="E125" s="31"/>
      <c r="F125" s="32"/>
      <c r="G125" s="20" t="s">
        <v>121</v>
      </c>
      <c r="H125" s="44">
        <f>E6*H96+L110*L116-2*E117*L117*L122+E110*E116</f>
        <v>10.960537162188642</v>
      </c>
      <c r="I125" s="23" t="s">
        <v>36</v>
      </c>
      <c r="J125" s="21"/>
      <c r="M125" s="54"/>
    </row>
    <row r="126" spans="4:13" ht="12.75">
      <c r="D126" s="27" t="s">
        <v>122</v>
      </c>
      <c r="E126" s="28"/>
      <c r="F126" s="29"/>
      <c r="G126" s="20" t="s">
        <v>124</v>
      </c>
      <c r="H126" s="44">
        <f>H123/E6</f>
        <v>1.9428902930940238E-17</v>
      </c>
      <c r="I126" s="33" t="s">
        <v>55</v>
      </c>
      <c r="J126" s="21"/>
      <c r="M126" s="54"/>
    </row>
    <row r="127" spans="4:10" ht="12.75">
      <c r="D127" s="34"/>
      <c r="E127" s="9"/>
      <c r="F127" s="35"/>
      <c r="G127" s="20" t="s">
        <v>125</v>
      </c>
      <c r="H127" s="44">
        <f>H124/E6</f>
        <v>-0.01995446608700219</v>
      </c>
      <c r="I127" s="33" t="s">
        <v>32</v>
      </c>
      <c r="J127" s="21"/>
    </row>
    <row r="128" spans="4:10" ht="12.75">
      <c r="D128" s="30"/>
      <c r="E128" s="31"/>
      <c r="F128" s="32"/>
      <c r="G128" s="72" t="s">
        <v>123</v>
      </c>
      <c r="H128" s="44">
        <f>H125/E6</f>
        <v>1.0960537162188642</v>
      </c>
      <c r="I128" s="33" t="s">
        <v>24</v>
      </c>
      <c r="J128" s="21"/>
    </row>
    <row r="129" spans="4:10" ht="12.75">
      <c r="D129" s="22" t="s">
        <v>59</v>
      </c>
      <c r="E129" s="23"/>
      <c r="F129" s="21"/>
      <c r="G129" s="72" t="s">
        <v>126</v>
      </c>
      <c r="H129" s="44">
        <f>(H127+(H128-E10)*TAN(C99*PI()/180))*COS(C99*PI()/180)-M8*SIN(C99*PI()/180)</f>
        <v>0.053810295811450866</v>
      </c>
      <c r="I129" s="33" t="s">
        <v>19</v>
      </c>
      <c r="J129" s="21"/>
    </row>
    <row r="131" spans="1:14" ht="12.75">
      <c r="A131" s="51" t="s">
        <v>51</v>
      </c>
      <c r="B131" s="50"/>
      <c r="C131" s="52">
        <v>60</v>
      </c>
      <c r="D131" s="12">
        <v>0</v>
      </c>
      <c r="E131" s="46">
        <v>1</v>
      </c>
      <c r="F131" s="12">
        <v>2</v>
      </c>
      <c r="G131" s="12">
        <v>3</v>
      </c>
      <c r="H131" s="12">
        <v>4</v>
      </c>
      <c r="I131" s="12">
        <v>5</v>
      </c>
      <c r="J131" s="12">
        <v>6</v>
      </c>
      <c r="K131" s="12">
        <v>7</v>
      </c>
      <c r="L131" s="12">
        <v>8</v>
      </c>
      <c r="M131" s="12">
        <v>9</v>
      </c>
      <c r="N131" s="12">
        <v>10</v>
      </c>
    </row>
    <row r="132" spans="1:14" ht="12.75">
      <c r="A132" s="22" t="s">
        <v>23</v>
      </c>
      <c r="B132" s="23"/>
      <c r="C132" s="59" t="s">
        <v>19</v>
      </c>
      <c r="D132" s="106">
        <v>-1</v>
      </c>
      <c r="E132" s="106">
        <v>-1</v>
      </c>
      <c r="F132" s="106">
        <v>-1</v>
      </c>
      <c r="G132" s="106">
        <v>-1</v>
      </c>
      <c r="H132" s="106">
        <v>-1</v>
      </c>
      <c r="I132" s="5">
        <v>0</v>
      </c>
      <c r="J132" s="4">
        <v>1</v>
      </c>
      <c r="K132" s="4">
        <v>1</v>
      </c>
      <c r="L132" s="4">
        <v>1</v>
      </c>
      <c r="M132" s="4">
        <v>1</v>
      </c>
      <c r="N132" s="4">
        <v>1</v>
      </c>
    </row>
    <row r="133" spans="1:14" ht="14.25">
      <c r="A133" s="22" t="s">
        <v>83</v>
      </c>
      <c r="B133" s="23"/>
      <c r="C133" s="59" t="s">
        <v>33</v>
      </c>
      <c r="D133" s="76">
        <v>0</v>
      </c>
      <c r="E133" s="77">
        <v>-0.025</v>
      </c>
      <c r="F133" s="76">
        <v>-0.05</v>
      </c>
      <c r="G133" s="76">
        <v>-0.075</v>
      </c>
      <c r="H133" s="76">
        <v>-0.1</v>
      </c>
      <c r="I133" s="76">
        <v>-0.1</v>
      </c>
      <c r="J133" s="76">
        <v>-0.1</v>
      </c>
      <c r="K133" s="76">
        <v>-0.075</v>
      </c>
      <c r="L133" s="76">
        <v>-0.05</v>
      </c>
      <c r="M133" s="76">
        <v>-0.025</v>
      </c>
      <c r="N133" s="76">
        <v>0</v>
      </c>
    </row>
    <row r="134" spans="1:14" ht="12.75">
      <c r="A134" s="22" t="s">
        <v>74</v>
      </c>
      <c r="B134" s="23"/>
      <c r="C134" s="59" t="s">
        <v>19</v>
      </c>
      <c r="D134" s="38">
        <v>0.2</v>
      </c>
      <c r="E134" s="38">
        <v>0.2</v>
      </c>
      <c r="F134" s="38">
        <v>0.2</v>
      </c>
      <c r="G134" s="38">
        <v>0.2</v>
      </c>
      <c r="H134" s="38">
        <v>0.2</v>
      </c>
      <c r="I134" s="38">
        <v>0.2</v>
      </c>
      <c r="J134" s="38">
        <v>0.2</v>
      </c>
      <c r="K134" s="38">
        <v>0.2</v>
      </c>
      <c r="L134" s="38">
        <v>0.2</v>
      </c>
      <c r="M134" s="38">
        <v>0.2</v>
      </c>
      <c r="N134" s="38">
        <v>0.2</v>
      </c>
    </row>
    <row r="135" spans="1:14" ht="12.75">
      <c r="A135" s="27" t="s">
        <v>75</v>
      </c>
      <c r="B135" s="9"/>
      <c r="C135" s="62" t="s">
        <v>19</v>
      </c>
      <c r="D135" s="38">
        <v>-0.2</v>
      </c>
      <c r="E135" s="38">
        <v>-0.2</v>
      </c>
      <c r="F135" s="38">
        <v>-0.2</v>
      </c>
      <c r="G135" s="38">
        <v>-0.2</v>
      </c>
      <c r="H135" s="38">
        <v>-0.2</v>
      </c>
      <c r="I135" s="38">
        <v>-0.2</v>
      </c>
      <c r="J135" s="38">
        <v>-0.2</v>
      </c>
      <c r="K135" s="38">
        <v>-0.2</v>
      </c>
      <c r="L135" s="38">
        <v>-0.2</v>
      </c>
      <c r="M135" s="38">
        <v>-0.2</v>
      </c>
      <c r="N135" s="38">
        <v>-0.2</v>
      </c>
    </row>
    <row r="136" spans="1:14" ht="15.75">
      <c r="A136" s="22" t="s">
        <v>85</v>
      </c>
      <c r="B136" s="23"/>
      <c r="C136" s="60" t="s">
        <v>19</v>
      </c>
      <c r="D136" s="76">
        <v>0</v>
      </c>
      <c r="E136" s="77">
        <v>-0.025</v>
      </c>
      <c r="F136" s="76">
        <v>-0.05</v>
      </c>
      <c r="G136" s="76">
        <v>-0.075</v>
      </c>
      <c r="H136" s="76">
        <v>-0.1</v>
      </c>
      <c r="I136" s="76">
        <v>-0.1</v>
      </c>
      <c r="J136" s="76">
        <v>-0.1</v>
      </c>
      <c r="K136" s="76">
        <v>-0.075</v>
      </c>
      <c r="L136" s="76">
        <v>-0.05</v>
      </c>
      <c r="M136" s="76">
        <v>-0.025</v>
      </c>
      <c r="N136" s="76">
        <v>0</v>
      </c>
    </row>
    <row r="137" spans="1:14" ht="14.25">
      <c r="A137" s="22" t="s">
        <v>84</v>
      </c>
      <c r="B137" s="23"/>
      <c r="C137" s="59" t="s">
        <v>33</v>
      </c>
      <c r="D137" s="76">
        <v>0</v>
      </c>
      <c r="E137" s="76">
        <v>0.05</v>
      </c>
      <c r="F137" s="76">
        <v>0.1</v>
      </c>
      <c r="G137" s="76">
        <v>0.15</v>
      </c>
      <c r="H137" s="76">
        <v>0.2</v>
      </c>
      <c r="I137" s="76">
        <v>0.2</v>
      </c>
      <c r="J137" s="76">
        <v>0.2</v>
      </c>
      <c r="K137" s="76">
        <v>0.15</v>
      </c>
      <c r="L137" s="76">
        <v>0.1</v>
      </c>
      <c r="M137" s="76">
        <v>0.05</v>
      </c>
      <c r="N137" s="76">
        <v>0</v>
      </c>
    </row>
    <row r="138" spans="1:14" ht="12.75">
      <c r="A138" s="22" t="s">
        <v>74</v>
      </c>
      <c r="B138" s="23"/>
      <c r="C138" s="59" t="s">
        <v>19</v>
      </c>
      <c r="D138" s="38">
        <v>0.6</v>
      </c>
      <c r="E138" s="38">
        <v>0.6</v>
      </c>
      <c r="F138" s="38">
        <v>0.6</v>
      </c>
      <c r="G138" s="38">
        <v>0.6</v>
      </c>
      <c r="H138" s="38">
        <v>0.6</v>
      </c>
      <c r="I138" s="38">
        <v>0.6</v>
      </c>
      <c r="J138" s="38">
        <v>0.6</v>
      </c>
      <c r="K138" s="38">
        <v>0.6</v>
      </c>
      <c r="L138" s="38">
        <v>0.6</v>
      </c>
      <c r="M138" s="38">
        <v>0.6</v>
      </c>
      <c r="N138" s="38">
        <v>0.6</v>
      </c>
    </row>
    <row r="139" spans="1:14" ht="12.75">
      <c r="A139" s="22" t="s">
        <v>75</v>
      </c>
      <c r="B139" s="23"/>
      <c r="C139" s="60" t="s">
        <v>19</v>
      </c>
      <c r="D139" s="38">
        <v>0.2</v>
      </c>
      <c r="E139" s="38">
        <v>0.2</v>
      </c>
      <c r="F139" s="38">
        <v>0.2</v>
      </c>
      <c r="G139" s="38">
        <v>0.2</v>
      </c>
      <c r="H139" s="38">
        <v>0.2</v>
      </c>
      <c r="I139" s="38">
        <v>0.2</v>
      </c>
      <c r="J139" s="38">
        <v>0.2</v>
      </c>
      <c r="K139" s="38">
        <v>0.2</v>
      </c>
      <c r="L139" s="38">
        <v>0.2</v>
      </c>
      <c r="M139" s="38">
        <v>0.2</v>
      </c>
      <c r="N139" s="38">
        <v>0.2</v>
      </c>
    </row>
    <row r="140" spans="1:14" ht="15.75">
      <c r="A140" s="22" t="s">
        <v>86</v>
      </c>
      <c r="B140" s="23"/>
      <c r="C140" s="60" t="s">
        <v>19</v>
      </c>
      <c r="D140" s="76">
        <v>0</v>
      </c>
      <c r="E140" s="76">
        <v>0.05</v>
      </c>
      <c r="F140" s="76">
        <v>0.1</v>
      </c>
      <c r="G140" s="76">
        <v>0.15</v>
      </c>
      <c r="H140" s="76">
        <v>0.2</v>
      </c>
      <c r="I140" s="76">
        <v>0.2</v>
      </c>
      <c r="J140" s="76">
        <v>0.2</v>
      </c>
      <c r="K140" s="76">
        <v>0.15</v>
      </c>
      <c r="L140" s="76">
        <v>0.1</v>
      </c>
      <c r="M140" s="76">
        <v>0.05</v>
      </c>
      <c r="N140" s="76">
        <v>0</v>
      </c>
    </row>
    <row r="142" spans="1:14" ht="15.75">
      <c r="A142" s="24" t="s">
        <v>87</v>
      </c>
      <c r="B142" s="25"/>
      <c r="C142" s="26"/>
      <c r="D142" s="20" t="s">
        <v>88</v>
      </c>
      <c r="E142" s="44">
        <f>(J132-I132)*(0.5*D133+E133+F133+G133+H133+I133+J133+K133+L133+M133+0.5*N133)</f>
        <v>-0.6</v>
      </c>
      <c r="F142" s="70" t="s">
        <v>34</v>
      </c>
      <c r="G142" s="34"/>
      <c r="H142" s="24" t="s">
        <v>98</v>
      </c>
      <c r="I142" s="25"/>
      <c r="J142" s="26"/>
      <c r="K142" s="20" t="s">
        <v>101</v>
      </c>
      <c r="L142" s="44">
        <f>(J132-I132)*(0.5*D137+E137+F137+G137+H137+I137+J137+K137+L137+M137+0.5*N137)</f>
        <v>1.2</v>
      </c>
      <c r="M142" s="70" t="s">
        <v>34</v>
      </c>
      <c r="N142" s="34"/>
    </row>
    <row r="143" spans="1:14" ht="15.75">
      <c r="A143" s="47" t="s">
        <v>89</v>
      </c>
      <c r="B143" s="48"/>
      <c r="C143" s="49"/>
      <c r="D143" s="20" t="s">
        <v>90</v>
      </c>
      <c r="E143" s="44">
        <f>(J132-I132)*(J132-I132)*((-2.5)*D133+(-4)*E133+(-3)*F133+(-2)*G133-H133+J133+2*K133+3*L133+4*M133+2.5*N133)</f>
        <v>-2.7755575615628914E-17</v>
      </c>
      <c r="F143" s="70" t="s">
        <v>91</v>
      </c>
      <c r="G143" s="34"/>
      <c r="H143" s="47" t="s">
        <v>99</v>
      </c>
      <c r="I143" s="48"/>
      <c r="J143" s="49"/>
      <c r="K143" s="20" t="s">
        <v>102</v>
      </c>
      <c r="L143" s="44">
        <f>(J132-I132)*(J132-I132)*((-2.5)*D137+(-4)*E137+(-3)*F137+(-2)*G137-H137+J137+2*K137+3*L137+4*M137+2.5*N137)</f>
        <v>5.551115123125783E-17</v>
      </c>
      <c r="M143" s="70" t="s">
        <v>91</v>
      </c>
      <c r="N143" s="34"/>
    </row>
    <row r="144" spans="1:14" ht="15.75">
      <c r="A144" s="63"/>
      <c r="B144" s="64"/>
      <c r="C144" s="65"/>
      <c r="D144" s="20" t="s">
        <v>92</v>
      </c>
      <c r="E144" s="44">
        <f>(J132-I132)*(0.5*D133*D135+E133*E135+F133*F135+G133*G135+H133*H135+I133*I135+J133*J135+K133*K135+L133*L135+M133*M135+0.5*N133*N135)</f>
        <v>0.12000000000000002</v>
      </c>
      <c r="F144" s="70" t="s">
        <v>35</v>
      </c>
      <c r="G144" s="34"/>
      <c r="H144" s="63"/>
      <c r="I144" s="64"/>
      <c r="J144" s="65"/>
      <c r="K144" s="20" t="s">
        <v>103</v>
      </c>
      <c r="L144" s="44">
        <f>(J132-I132)*(0.5*D137*D139+E137*E139+F137*F139+G137*G139+H137*H139+I137*I139+J137*J139+K137*K139+L137*L139+M137*M139+0.5*N137*N139)</f>
        <v>0.24000000000000005</v>
      </c>
      <c r="M144" s="70" t="s">
        <v>35</v>
      </c>
      <c r="N144" s="34"/>
    </row>
    <row r="145" spans="1:14" ht="15.75">
      <c r="A145" s="66"/>
      <c r="B145" s="67"/>
      <c r="C145" s="68"/>
      <c r="D145" s="20" t="s">
        <v>93</v>
      </c>
      <c r="E145" s="44">
        <f>(J132-I132)*(0.5*D133*D134+E133*E134+F133*F134+G133*G134+H133*H134+I133*I134+J133*J134+K133*K134+L133*L134+M133*M134+0.5*N133*N134)</f>
        <v>-0.12000000000000002</v>
      </c>
      <c r="F145" s="70" t="s">
        <v>35</v>
      </c>
      <c r="G145" s="34"/>
      <c r="H145" s="66"/>
      <c r="I145" s="67"/>
      <c r="J145" s="68"/>
      <c r="K145" s="20" t="s">
        <v>104</v>
      </c>
      <c r="L145" s="44">
        <f>(J132-I132)*(0.5*D137*D138+E137*E138+F137*F138+G137*G138+H137*H138+I137*I138+J137*J138+K137*K138+L137*L138+M137*M138+0.5*N137*N138)</f>
        <v>0.72</v>
      </c>
      <c r="M145" s="70" t="s">
        <v>35</v>
      </c>
      <c r="N145" s="34"/>
    </row>
    <row r="146" spans="1:14" ht="15.75">
      <c r="A146" s="63" t="s">
        <v>94</v>
      </c>
      <c r="B146" s="64"/>
      <c r="C146" s="49"/>
      <c r="D146" s="20" t="s">
        <v>95</v>
      </c>
      <c r="E146" s="44">
        <f>E143/E142</f>
        <v>4.625929269271486E-17</v>
      </c>
      <c r="F146" s="70" t="s">
        <v>19</v>
      </c>
      <c r="G146" s="34"/>
      <c r="H146" s="63" t="s">
        <v>100</v>
      </c>
      <c r="I146" s="64"/>
      <c r="J146" s="49"/>
      <c r="K146" s="20" t="s">
        <v>105</v>
      </c>
      <c r="L146" s="44">
        <f>L143/L142</f>
        <v>4.625929269271486E-17</v>
      </c>
      <c r="M146" s="70" t="s">
        <v>19</v>
      </c>
      <c r="N146" s="34"/>
    </row>
    <row r="147" spans="1:14" ht="15.75">
      <c r="A147" s="63"/>
      <c r="B147" s="64"/>
      <c r="C147" s="65"/>
      <c r="D147" s="20" t="s">
        <v>96</v>
      </c>
      <c r="E147" s="44">
        <f>E144/E142</f>
        <v>-0.20000000000000004</v>
      </c>
      <c r="F147" s="70" t="s">
        <v>19</v>
      </c>
      <c r="G147" s="34"/>
      <c r="H147" s="63"/>
      <c r="I147" s="64"/>
      <c r="J147" s="65"/>
      <c r="K147" s="20" t="s">
        <v>106</v>
      </c>
      <c r="L147" s="44">
        <f>L144/L142</f>
        <v>0.20000000000000004</v>
      </c>
      <c r="M147" s="70" t="s">
        <v>19</v>
      </c>
      <c r="N147" s="34"/>
    </row>
    <row r="148" spans="1:14" ht="15.75">
      <c r="A148" s="66"/>
      <c r="B148" s="67"/>
      <c r="C148" s="68"/>
      <c r="D148" s="69" t="s">
        <v>97</v>
      </c>
      <c r="E148" s="44">
        <f>E145/E142</f>
        <v>0.20000000000000004</v>
      </c>
      <c r="F148" s="70" t="s">
        <v>19</v>
      </c>
      <c r="G148" s="34"/>
      <c r="H148" s="66"/>
      <c r="I148" s="67"/>
      <c r="J148" s="68"/>
      <c r="K148" s="69" t="s">
        <v>107</v>
      </c>
      <c r="L148" s="44">
        <f>L145/L142</f>
        <v>0.6</v>
      </c>
      <c r="M148" s="70" t="s">
        <v>19</v>
      </c>
      <c r="N148" s="34"/>
    </row>
    <row r="149" spans="1:13" ht="15.75">
      <c r="A149" s="22" t="s">
        <v>52</v>
      </c>
      <c r="B149" s="23"/>
      <c r="C149" s="21"/>
      <c r="D149" s="71" t="s">
        <v>108</v>
      </c>
      <c r="E149" s="44">
        <f>(0.5*(D140-D136)+E140-E136+F140-F136+G140-G136+H140-H136+I140-I136+J140-J136+K140-K136+L140-L136+M140-M136+0.5*(N140-N136))*(J132-I132)</f>
        <v>1.8</v>
      </c>
      <c r="F149" s="59" t="s">
        <v>33</v>
      </c>
      <c r="H149" s="22" t="s">
        <v>53</v>
      </c>
      <c r="I149" s="23"/>
      <c r="J149" s="21"/>
      <c r="K149" s="71" t="s">
        <v>114</v>
      </c>
      <c r="L149" s="23">
        <f>0.5*(L142+E142)/E149</f>
        <v>0.16666666666666666</v>
      </c>
      <c r="M149" s="59" t="s">
        <v>19</v>
      </c>
    </row>
    <row r="150" spans="1:13" ht="15.75">
      <c r="A150" s="27" t="s">
        <v>111</v>
      </c>
      <c r="B150" s="28"/>
      <c r="C150" s="29"/>
      <c r="D150" s="71" t="s">
        <v>112</v>
      </c>
      <c r="E150" s="44">
        <f>(J132-I132)*(J132-I132)*((-2.5)*(D140-D136)+(-4)*(E140-E136)+(-3)*(F140-F136)+(-2)*(G140-G136)-(H140-H136)+J140-J136+2*(K140-K136)+3*(L140-L136)+4*(M140-M136)+2.5*(N140-N136))</f>
        <v>-1.1102230246251565E-16</v>
      </c>
      <c r="F150" s="60" t="s">
        <v>19</v>
      </c>
      <c r="H150" s="27" t="s">
        <v>115</v>
      </c>
      <c r="I150" s="28"/>
      <c r="J150" s="29"/>
      <c r="K150" s="71" t="s">
        <v>134</v>
      </c>
      <c r="L150" s="23">
        <f>L149*COS((C99*PI()/180))/SIN((C131*PI()/180)-(C99*PI()/180))</f>
        <v>0.45534180126147966</v>
      </c>
      <c r="M150" s="59">
        <f>M118+L150</f>
        <v>2.27897835587421</v>
      </c>
    </row>
    <row r="151" spans="1:13" ht="15.75">
      <c r="A151" s="30"/>
      <c r="B151" s="31"/>
      <c r="C151" s="32"/>
      <c r="D151" s="71" t="s">
        <v>113</v>
      </c>
      <c r="E151" s="44">
        <f>0.5*(J132-I132)*(0.5*(D140-D136)*(D140+B100)+(E140-E136)*(E140+E136)+(F140-F136)*(F140+F136)+(G140-G136)*(G140+G136)+(H140-H136)*(H140+H136)+(I140-I136)*(I140+I136)+(J140-J136)*(J140+J136)+(K140-K136)*(K140+K136)+(L140-L136)*(L140+L136)+(M140-M136)*(M140+M136)+0.5*(N140-N136)*(N140+N136))</f>
        <v>0.07125000000000001</v>
      </c>
      <c r="F151" s="60" t="s">
        <v>19</v>
      </c>
      <c r="H151" s="30"/>
      <c r="I151" s="31"/>
      <c r="J151" s="32"/>
      <c r="K151" s="71" t="s">
        <v>135</v>
      </c>
      <c r="L151" s="23">
        <f>L149*SIN((C99*PI()/180))/SIN((C131*PI()/180)-(C99*PI()/180))</f>
        <v>0.4553418012614796</v>
      </c>
      <c r="M151" s="59">
        <f>M119+L151</f>
        <v>0.9439837433578355</v>
      </c>
    </row>
    <row r="152" spans="1:13" ht="15.75">
      <c r="A152" s="27" t="s">
        <v>127</v>
      </c>
      <c r="B152" s="28"/>
      <c r="C152" s="29"/>
      <c r="D152" s="71" t="s">
        <v>109</v>
      </c>
      <c r="E152" s="44">
        <f>E150/E149</f>
        <v>-6.167905692361981E-17</v>
      </c>
      <c r="F152" s="59" t="s">
        <v>19</v>
      </c>
      <c r="H152" s="27" t="s">
        <v>118</v>
      </c>
      <c r="I152" s="28"/>
      <c r="J152" s="29"/>
      <c r="K152" s="71" t="s">
        <v>116</v>
      </c>
      <c r="L152" s="75">
        <f>E152</f>
        <v>-6.167905692361981E-17</v>
      </c>
      <c r="M152" s="59" t="s">
        <v>19</v>
      </c>
    </row>
    <row r="153" spans="1:13" ht="15.75">
      <c r="A153" s="30"/>
      <c r="B153" s="31"/>
      <c r="C153" s="32"/>
      <c r="D153" s="71" t="s">
        <v>110</v>
      </c>
      <c r="E153" s="44">
        <f>E151/E149</f>
        <v>0.03958333333333334</v>
      </c>
      <c r="F153" s="59" t="s">
        <v>19</v>
      </c>
      <c r="H153" s="34"/>
      <c r="I153" s="9"/>
      <c r="J153" s="35"/>
      <c r="K153" s="71" t="s">
        <v>117</v>
      </c>
      <c r="L153" s="23">
        <f>M118+E153*COS(C131*PI()/180)+0.5*L149*SIN(C131*PI()/180)</f>
        <v>1.9155970049281004</v>
      </c>
      <c r="M153" s="59" t="s">
        <v>19</v>
      </c>
    </row>
    <row r="154" spans="8:13" ht="15.75">
      <c r="H154" s="30"/>
      <c r="I154" s="31"/>
      <c r="J154" s="32"/>
      <c r="K154" s="71" t="s">
        <v>245</v>
      </c>
      <c r="L154" s="23">
        <f>0.462+M119+E153*SIN(C131*PI()/180)-0.5*L149*COS(C131*PI()/180)</f>
        <v>0.9432554476628233</v>
      </c>
      <c r="M154" s="59" t="s">
        <v>19</v>
      </c>
    </row>
    <row r="155" spans="4:10" ht="15.75">
      <c r="D155" s="27" t="s">
        <v>26</v>
      </c>
      <c r="E155" s="28"/>
      <c r="F155" s="29"/>
      <c r="G155" s="20" t="s">
        <v>119</v>
      </c>
      <c r="H155" s="44">
        <f>E6*H126+L142*L146-2*E149*L149*L152+E142*E146</f>
        <v>2.590520390792032E-16</v>
      </c>
      <c r="I155" s="23" t="s">
        <v>56</v>
      </c>
      <c r="J155" s="21"/>
    </row>
    <row r="156" spans="4:13" ht="15.75">
      <c r="D156" s="34"/>
      <c r="E156" s="9"/>
      <c r="F156" s="35"/>
      <c r="G156" s="20" t="s">
        <v>120</v>
      </c>
      <c r="H156" s="44">
        <f>E6*H127+L142*L147-2*E149*L149*L153+E142*E147</f>
        <v>-0.9889028638268819</v>
      </c>
      <c r="I156" s="23" t="s">
        <v>37</v>
      </c>
      <c r="J156" s="21"/>
      <c r="K156" s="117" t="s">
        <v>250</v>
      </c>
      <c r="M156" s="54"/>
    </row>
    <row r="157" spans="4:13" ht="15.75">
      <c r="D157" s="30"/>
      <c r="E157" s="31"/>
      <c r="F157" s="32"/>
      <c r="G157" s="20" t="s">
        <v>121</v>
      </c>
      <c r="H157" s="44">
        <f>E6*H128+L142*L148-2*E149*L149*L154+E142*E148</f>
        <v>10.99458389359095</v>
      </c>
      <c r="I157" s="23" t="s">
        <v>36</v>
      </c>
      <c r="J157" s="21"/>
      <c r="M157" s="54"/>
    </row>
    <row r="158" spans="4:13" ht="12.75">
      <c r="D158" s="27" t="s">
        <v>122</v>
      </c>
      <c r="E158" s="28"/>
      <c r="F158" s="29"/>
      <c r="G158" s="20" t="s">
        <v>124</v>
      </c>
      <c r="H158" s="44">
        <f>H155/E6</f>
        <v>2.590520390792032E-17</v>
      </c>
      <c r="I158" s="33" t="s">
        <v>55</v>
      </c>
      <c r="J158" s="21"/>
      <c r="M158" s="54"/>
    </row>
    <row r="159" spans="4:10" ht="12.75">
      <c r="D159" s="34"/>
      <c r="E159" s="9"/>
      <c r="F159" s="35"/>
      <c r="G159" s="20" t="s">
        <v>125</v>
      </c>
      <c r="H159" s="44">
        <f>H156/E6</f>
        <v>-0.09889028638268818</v>
      </c>
      <c r="I159" s="33" t="s">
        <v>32</v>
      </c>
      <c r="J159" s="21"/>
    </row>
    <row r="160" spans="4:10" ht="12.75">
      <c r="D160" s="30"/>
      <c r="E160" s="31"/>
      <c r="F160" s="32"/>
      <c r="G160" s="72" t="s">
        <v>123</v>
      </c>
      <c r="H160" s="44">
        <f>H157/E6</f>
        <v>1.099458389359095</v>
      </c>
      <c r="I160" s="33" t="s">
        <v>24</v>
      </c>
      <c r="J160" s="21"/>
    </row>
    <row r="161" spans="4:10" ht="12.75">
      <c r="D161" s="22" t="s">
        <v>59</v>
      </c>
      <c r="E161" s="23"/>
      <c r="F161" s="21"/>
      <c r="G161" s="72" t="s">
        <v>126</v>
      </c>
      <c r="H161" s="44">
        <f>(H159+(H160-E10)*TAN(C131*PI()/180))*COS(C131*PI()/180)-M8*SIN(C131*PI()/180)</f>
        <v>0.03668834861311606</v>
      </c>
      <c r="I161" s="33" t="s">
        <v>19</v>
      </c>
      <c r="J161" s="21"/>
    </row>
    <row r="163" spans="1:14" ht="12.75">
      <c r="A163" s="51" t="s">
        <v>51</v>
      </c>
      <c r="B163" s="50"/>
      <c r="C163" s="52">
        <v>75</v>
      </c>
      <c r="D163" s="12">
        <v>0</v>
      </c>
      <c r="E163" s="46">
        <v>1</v>
      </c>
      <c r="F163" s="12">
        <v>2</v>
      </c>
      <c r="G163" s="12">
        <v>3</v>
      </c>
      <c r="H163" s="12">
        <v>4</v>
      </c>
      <c r="I163" s="12">
        <v>5</v>
      </c>
      <c r="J163" s="12">
        <v>6</v>
      </c>
      <c r="K163" s="12">
        <v>7</v>
      </c>
      <c r="L163" s="12">
        <v>8</v>
      </c>
      <c r="M163" s="12">
        <v>9</v>
      </c>
      <c r="N163" s="12">
        <v>10</v>
      </c>
    </row>
    <row r="164" spans="1:14" ht="12.75">
      <c r="A164" s="22" t="s">
        <v>23</v>
      </c>
      <c r="B164" s="23"/>
      <c r="C164" s="59" t="s">
        <v>19</v>
      </c>
      <c r="D164" s="106">
        <v>-1</v>
      </c>
      <c r="E164" s="106">
        <v>-1</v>
      </c>
      <c r="F164" s="106">
        <v>-1</v>
      </c>
      <c r="G164" s="106">
        <v>-1</v>
      </c>
      <c r="H164" s="106">
        <v>-1</v>
      </c>
      <c r="I164" s="5">
        <v>0</v>
      </c>
      <c r="J164" s="4">
        <v>1</v>
      </c>
      <c r="K164" s="4">
        <v>1</v>
      </c>
      <c r="L164" s="4">
        <v>1</v>
      </c>
      <c r="M164" s="4">
        <v>1</v>
      </c>
      <c r="N164" s="4">
        <v>1</v>
      </c>
    </row>
    <row r="165" spans="1:14" ht="14.25">
      <c r="A165" s="22" t="s">
        <v>83</v>
      </c>
      <c r="B165" s="23"/>
      <c r="C165" s="59" t="s">
        <v>33</v>
      </c>
      <c r="D165" s="76">
        <v>0</v>
      </c>
      <c r="E165" s="77">
        <v>-0.025</v>
      </c>
      <c r="F165" s="76">
        <v>-0.05</v>
      </c>
      <c r="G165" s="76">
        <v>-0.075</v>
      </c>
      <c r="H165" s="76">
        <v>-0.1</v>
      </c>
      <c r="I165" s="76">
        <v>-0.1</v>
      </c>
      <c r="J165" s="76">
        <v>-0.1</v>
      </c>
      <c r="K165" s="76">
        <v>-0.075</v>
      </c>
      <c r="L165" s="76">
        <v>-0.05</v>
      </c>
      <c r="M165" s="76">
        <v>-0.025</v>
      </c>
      <c r="N165" s="76">
        <v>0</v>
      </c>
    </row>
    <row r="166" spans="1:14" ht="12.75">
      <c r="A166" s="22" t="s">
        <v>74</v>
      </c>
      <c r="B166" s="23"/>
      <c r="C166" s="59" t="s">
        <v>19</v>
      </c>
      <c r="D166" s="38">
        <v>0.2</v>
      </c>
      <c r="E166" s="38">
        <v>0.2</v>
      </c>
      <c r="F166" s="38">
        <v>0.2</v>
      </c>
      <c r="G166" s="38">
        <v>0.2</v>
      </c>
      <c r="H166" s="38">
        <v>0.2</v>
      </c>
      <c r="I166" s="38">
        <v>0.2</v>
      </c>
      <c r="J166" s="38">
        <v>0.2</v>
      </c>
      <c r="K166" s="38">
        <v>0.2</v>
      </c>
      <c r="L166" s="38">
        <v>0.2</v>
      </c>
      <c r="M166" s="38">
        <v>0.2</v>
      </c>
      <c r="N166" s="38">
        <v>0.2</v>
      </c>
    </row>
    <row r="167" spans="1:14" ht="12.75">
      <c r="A167" s="27" t="s">
        <v>75</v>
      </c>
      <c r="B167" s="9"/>
      <c r="C167" s="62" t="s">
        <v>19</v>
      </c>
      <c r="D167" s="38">
        <v>-0.2</v>
      </c>
      <c r="E167" s="38">
        <v>-0.2</v>
      </c>
      <c r="F167" s="38">
        <v>-0.2</v>
      </c>
      <c r="G167" s="38">
        <v>-0.2</v>
      </c>
      <c r="H167" s="38">
        <v>-0.2</v>
      </c>
      <c r="I167" s="38">
        <v>-0.2</v>
      </c>
      <c r="J167" s="38">
        <v>-0.2</v>
      </c>
      <c r="K167" s="38">
        <v>-0.2</v>
      </c>
      <c r="L167" s="38">
        <v>-0.2</v>
      </c>
      <c r="M167" s="38">
        <v>-0.2</v>
      </c>
      <c r="N167" s="38">
        <v>-0.2</v>
      </c>
    </row>
    <row r="168" spans="1:14" ht="15.75">
      <c r="A168" s="22" t="s">
        <v>85</v>
      </c>
      <c r="B168" s="23"/>
      <c r="C168" s="60" t="s">
        <v>19</v>
      </c>
      <c r="D168" s="76">
        <v>0</v>
      </c>
      <c r="E168" s="77">
        <v>-0.025</v>
      </c>
      <c r="F168" s="76">
        <v>-0.05</v>
      </c>
      <c r="G168" s="76">
        <v>-0.075</v>
      </c>
      <c r="H168" s="76">
        <v>-0.1</v>
      </c>
      <c r="I168" s="76">
        <v>-0.1</v>
      </c>
      <c r="J168" s="76">
        <v>-0.1</v>
      </c>
      <c r="K168" s="76">
        <v>-0.075</v>
      </c>
      <c r="L168" s="76">
        <v>-0.05</v>
      </c>
      <c r="M168" s="76">
        <v>-0.025</v>
      </c>
      <c r="N168" s="76">
        <v>0</v>
      </c>
    </row>
    <row r="169" spans="1:14" ht="14.25">
      <c r="A169" s="22" t="s">
        <v>84</v>
      </c>
      <c r="B169" s="23"/>
      <c r="C169" s="59" t="s">
        <v>33</v>
      </c>
      <c r="D169" s="76">
        <v>0</v>
      </c>
      <c r="E169" s="76">
        <v>0.05</v>
      </c>
      <c r="F169" s="76">
        <v>0.1</v>
      </c>
      <c r="G169" s="76">
        <v>0.15</v>
      </c>
      <c r="H169" s="76">
        <v>0.2</v>
      </c>
      <c r="I169" s="76">
        <v>0.2</v>
      </c>
      <c r="J169" s="76">
        <v>0.2</v>
      </c>
      <c r="K169" s="76">
        <v>0.15</v>
      </c>
      <c r="L169" s="76">
        <v>0.1</v>
      </c>
      <c r="M169" s="76">
        <v>0.05</v>
      </c>
      <c r="N169" s="76">
        <v>0</v>
      </c>
    </row>
    <row r="170" spans="1:14" ht="12.75">
      <c r="A170" s="22" t="s">
        <v>74</v>
      </c>
      <c r="B170" s="23"/>
      <c r="C170" s="59" t="s">
        <v>19</v>
      </c>
      <c r="D170" s="38">
        <v>0.6</v>
      </c>
      <c r="E170" s="38">
        <v>0.6</v>
      </c>
      <c r="F170" s="38">
        <v>0.6</v>
      </c>
      <c r="G170" s="38">
        <v>0.6</v>
      </c>
      <c r="H170" s="38">
        <v>0.6</v>
      </c>
      <c r="I170" s="38">
        <v>0.6</v>
      </c>
      <c r="J170" s="38">
        <v>0.6</v>
      </c>
      <c r="K170" s="38">
        <v>0.6</v>
      </c>
      <c r="L170" s="38">
        <v>0.6</v>
      </c>
      <c r="M170" s="38">
        <v>0.6</v>
      </c>
      <c r="N170" s="38">
        <v>0.6</v>
      </c>
    </row>
    <row r="171" spans="1:14" ht="12.75">
      <c r="A171" s="22" t="s">
        <v>75</v>
      </c>
      <c r="B171" s="23"/>
      <c r="C171" s="60" t="s">
        <v>19</v>
      </c>
      <c r="D171" s="38">
        <v>0.2</v>
      </c>
      <c r="E171" s="38">
        <v>0.2</v>
      </c>
      <c r="F171" s="38">
        <v>0.2</v>
      </c>
      <c r="G171" s="38">
        <v>0.2</v>
      </c>
      <c r="H171" s="38">
        <v>0.2</v>
      </c>
      <c r="I171" s="38">
        <v>0.2</v>
      </c>
      <c r="J171" s="38">
        <v>0.2</v>
      </c>
      <c r="K171" s="38">
        <v>0.2</v>
      </c>
      <c r="L171" s="38">
        <v>0.2</v>
      </c>
      <c r="M171" s="38">
        <v>0.2</v>
      </c>
      <c r="N171" s="38">
        <v>0.2</v>
      </c>
    </row>
    <row r="172" spans="1:14" ht="15.75">
      <c r="A172" s="22" t="s">
        <v>86</v>
      </c>
      <c r="B172" s="23"/>
      <c r="C172" s="60" t="s">
        <v>19</v>
      </c>
      <c r="D172" s="76">
        <v>0</v>
      </c>
      <c r="E172" s="76">
        <v>0.05</v>
      </c>
      <c r="F172" s="76">
        <v>0.1</v>
      </c>
      <c r="G172" s="76">
        <v>0.15</v>
      </c>
      <c r="H172" s="76">
        <v>0.2</v>
      </c>
      <c r="I172" s="76">
        <v>0.2</v>
      </c>
      <c r="J172" s="76">
        <v>0.2</v>
      </c>
      <c r="K172" s="76">
        <v>0.15</v>
      </c>
      <c r="L172" s="76">
        <v>0.1</v>
      </c>
      <c r="M172" s="76">
        <v>0.05</v>
      </c>
      <c r="N172" s="76">
        <v>0</v>
      </c>
    </row>
    <row r="174" spans="1:14" ht="15.75">
      <c r="A174" s="24" t="s">
        <v>87</v>
      </c>
      <c r="B174" s="25"/>
      <c r="C174" s="26"/>
      <c r="D174" s="20" t="s">
        <v>88</v>
      </c>
      <c r="E174" s="44">
        <f>(J164-I164)*(0.5*D165+E165+F165+G165+H165+I165+J165+K165+L165+M165+0.5*N165)</f>
        <v>-0.6</v>
      </c>
      <c r="F174" s="70" t="s">
        <v>34</v>
      </c>
      <c r="G174" s="34"/>
      <c r="H174" s="24" t="s">
        <v>98</v>
      </c>
      <c r="I174" s="25"/>
      <c r="J174" s="26"/>
      <c r="K174" s="20" t="s">
        <v>101</v>
      </c>
      <c r="L174" s="44">
        <f>(J164-I164)*(0.5*D169+E169+F169+G169+H169+I169+J169+K169+L169+M169+0.5*N169)</f>
        <v>1.2</v>
      </c>
      <c r="M174" s="70" t="s">
        <v>34</v>
      </c>
      <c r="N174" s="34"/>
    </row>
    <row r="175" spans="1:14" ht="15.75">
      <c r="A175" s="47" t="s">
        <v>89</v>
      </c>
      <c r="B175" s="48"/>
      <c r="C175" s="49"/>
      <c r="D175" s="20" t="s">
        <v>90</v>
      </c>
      <c r="E175" s="44">
        <f>(J164-I164)*(J164-I164)*((-2.5)*D165+(-4)*E165+(-3)*F165+(-2)*G165-H165+J165+2*K165+3*L165+4*M165+2.5*N165)</f>
        <v>-2.7755575615628914E-17</v>
      </c>
      <c r="F175" s="70" t="s">
        <v>91</v>
      </c>
      <c r="G175" s="34"/>
      <c r="H175" s="47" t="s">
        <v>99</v>
      </c>
      <c r="I175" s="48"/>
      <c r="J175" s="49"/>
      <c r="K175" s="20" t="s">
        <v>102</v>
      </c>
      <c r="L175" s="44">
        <f>(J164-I164)*(J164-I164)*((-2.5)*D169+(-4)*E169+(-3)*F169+(-2)*G169-H169+J169+2*K169+3*L169+4*M169+2.5*N169)</f>
        <v>5.551115123125783E-17</v>
      </c>
      <c r="M175" s="70" t="s">
        <v>91</v>
      </c>
      <c r="N175" s="34"/>
    </row>
    <row r="176" spans="1:14" ht="15.75">
      <c r="A176" s="63"/>
      <c r="B176" s="64"/>
      <c r="C176" s="65"/>
      <c r="D176" s="20" t="s">
        <v>92</v>
      </c>
      <c r="E176" s="44">
        <f>(J164-I164)*(0.5*D165*D167+E165*E167+F165*F167+G165*G167+H165*H167+I165*I167+J165*J167+K165*K167+L165*L167+M165*M167+0.5*N165*N167)</f>
        <v>0.12000000000000002</v>
      </c>
      <c r="F176" s="70" t="s">
        <v>35</v>
      </c>
      <c r="G176" s="34"/>
      <c r="H176" s="63"/>
      <c r="I176" s="64"/>
      <c r="J176" s="65"/>
      <c r="K176" s="20" t="s">
        <v>103</v>
      </c>
      <c r="L176" s="44">
        <f>(J164-I164)*(0.5*D169*D171+E169*E171+F169*F171+G169*G171+H169*H171+I169*I171+J169*J171+K169*K171+L169*L171+M169*M171+0.5*N169*N171)</f>
        <v>0.24000000000000005</v>
      </c>
      <c r="M176" s="70" t="s">
        <v>35</v>
      </c>
      <c r="N176" s="34"/>
    </row>
    <row r="177" spans="1:14" ht="15.75">
      <c r="A177" s="66"/>
      <c r="B177" s="67"/>
      <c r="C177" s="68"/>
      <c r="D177" s="20" t="s">
        <v>93</v>
      </c>
      <c r="E177" s="44">
        <f>(J164-I164)*(0.5*D165*D166+E165*E166+F165*F166+G165*G166+H165*H166+I165*I166+J165*J166+K165*K166+L165*L166+M165*M166+0.5*N165*N166)</f>
        <v>-0.12000000000000002</v>
      </c>
      <c r="F177" s="70" t="s">
        <v>35</v>
      </c>
      <c r="G177" s="34"/>
      <c r="H177" s="66"/>
      <c r="I177" s="67"/>
      <c r="J177" s="68"/>
      <c r="K177" s="20" t="s">
        <v>104</v>
      </c>
      <c r="L177" s="44">
        <f>(J164-I164)*(0.5*D169*D170+E169*E170+F169*F170+G169*G170+H169*H170+I169*I170+J169*J170+K169*K170+L169*L170+M169*M170+0.5*N169*N170)</f>
        <v>0.72</v>
      </c>
      <c r="M177" s="70" t="s">
        <v>35</v>
      </c>
      <c r="N177" s="34"/>
    </row>
    <row r="178" spans="1:14" ht="15.75">
      <c r="A178" s="63" t="s">
        <v>94</v>
      </c>
      <c r="B178" s="64"/>
      <c r="C178" s="49"/>
      <c r="D178" s="20" t="s">
        <v>95</v>
      </c>
      <c r="E178" s="44">
        <f>E175/E174</f>
        <v>4.625929269271486E-17</v>
      </c>
      <c r="F178" s="70" t="s">
        <v>19</v>
      </c>
      <c r="G178" s="34"/>
      <c r="H178" s="63" t="s">
        <v>100</v>
      </c>
      <c r="I178" s="64"/>
      <c r="J178" s="49"/>
      <c r="K178" s="20" t="s">
        <v>105</v>
      </c>
      <c r="L178" s="44">
        <f>L175/L174</f>
        <v>4.625929269271486E-17</v>
      </c>
      <c r="M178" s="70" t="s">
        <v>19</v>
      </c>
      <c r="N178" s="34"/>
    </row>
    <row r="179" spans="1:14" ht="15.75">
      <c r="A179" s="63"/>
      <c r="B179" s="64"/>
      <c r="C179" s="65"/>
      <c r="D179" s="20" t="s">
        <v>96</v>
      </c>
      <c r="E179" s="44">
        <f>E176/E174</f>
        <v>-0.20000000000000004</v>
      </c>
      <c r="F179" s="70" t="s">
        <v>19</v>
      </c>
      <c r="G179" s="34"/>
      <c r="H179" s="63"/>
      <c r="I179" s="64"/>
      <c r="J179" s="65"/>
      <c r="K179" s="20" t="s">
        <v>106</v>
      </c>
      <c r="L179" s="44">
        <f>L176/L174</f>
        <v>0.20000000000000004</v>
      </c>
      <c r="M179" s="70" t="s">
        <v>19</v>
      </c>
      <c r="N179" s="34"/>
    </row>
    <row r="180" spans="1:14" ht="15.75">
      <c r="A180" s="66"/>
      <c r="B180" s="67"/>
      <c r="C180" s="68"/>
      <c r="D180" s="69" t="s">
        <v>97</v>
      </c>
      <c r="E180" s="44">
        <f>E177/E174</f>
        <v>0.20000000000000004</v>
      </c>
      <c r="F180" s="70" t="s">
        <v>19</v>
      </c>
      <c r="G180" s="34"/>
      <c r="H180" s="66"/>
      <c r="I180" s="67"/>
      <c r="J180" s="68"/>
      <c r="K180" s="69" t="s">
        <v>107</v>
      </c>
      <c r="L180" s="44">
        <f>L177/L174</f>
        <v>0.6</v>
      </c>
      <c r="M180" s="70" t="s">
        <v>19</v>
      </c>
      <c r="N180" s="34"/>
    </row>
    <row r="181" spans="1:13" ht="15.75">
      <c r="A181" s="22" t="s">
        <v>52</v>
      </c>
      <c r="B181" s="23"/>
      <c r="C181" s="21"/>
      <c r="D181" s="71" t="s">
        <v>108</v>
      </c>
      <c r="E181" s="44">
        <f>(0.5*(D172-D168)+E172-E168+F172-F168+G172-G168+H172-H168+I172-I168+J172-J168+K172-K168+L172-L168+M172-M168+0.5*(N172-N168))*(J164-I164)</f>
        <v>1.8</v>
      </c>
      <c r="F181" s="59" t="s">
        <v>33</v>
      </c>
      <c r="H181" s="22" t="s">
        <v>53</v>
      </c>
      <c r="I181" s="23"/>
      <c r="J181" s="21"/>
      <c r="K181" s="71" t="s">
        <v>114</v>
      </c>
      <c r="L181" s="23">
        <f>0.5*(L174+E174)/E181</f>
        <v>0.16666666666666666</v>
      </c>
      <c r="M181" s="59" t="s">
        <v>19</v>
      </c>
    </row>
    <row r="182" spans="1:13" ht="15.75">
      <c r="A182" s="27" t="s">
        <v>111</v>
      </c>
      <c r="B182" s="28"/>
      <c r="C182" s="29"/>
      <c r="D182" s="71" t="s">
        <v>112</v>
      </c>
      <c r="E182" s="44">
        <f>(J164-I164)*(J164-I164)*((-2.5)*(D172-D168)+(-4)*(E172-E168)+(-3)*(F172-F168)+(-2)*(G172-G168)-(H172-H168)+J172-J168+2*(K172-K168)+3*(L172-L168)+4*(M172-M168)+2.5*(N172-N168))</f>
        <v>-1.1102230246251565E-16</v>
      </c>
      <c r="F182" s="60" t="s">
        <v>19</v>
      </c>
      <c r="H182" s="27" t="s">
        <v>115</v>
      </c>
      <c r="I182" s="28"/>
      <c r="J182" s="29"/>
      <c r="K182" s="71" t="s">
        <v>136</v>
      </c>
      <c r="L182" s="23">
        <f>L181*COS((C131*PI()/180))/SIN((C163*PI()/180)-(C131*PI()/180))</f>
        <v>0.3219752754296893</v>
      </c>
      <c r="M182" s="59">
        <f>M150+L182</f>
        <v>2.6009536313038994</v>
      </c>
    </row>
    <row r="183" spans="1:13" ht="15.75">
      <c r="A183" s="30"/>
      <c r="B183" s="31"/>
      <c r="C183" s="32"/>
      <c r="D183" s="71" t="s">
        <v>113</v>
      </c>
      <c r="E183" s="44">
        <f>0.5*(J164-I164)*(0.5*(D172-D168)*(D172+B132)+(E172-E168)*(E172+E168)+(F172-F168)*(F172+F168)+(G172-G168)*(G172+G168)+(H172-H168)*(H172+H168)+(I172-I168)*(I172+I168)+(J172-J168)*(J172+J168)+(K172-K168)*(K172+K168)+(L172-L168)*(L172+L168)+(M172-M168)*(M172+M168)+0.5*(N172-N168)*(N172+N168))</f>
        <v>0.07125000000000001</v>
      </c>
      <c r="F183" s="60" t="s">
        <v>19</v>
      </c>
      <c r="H183" s="30"/>
      <c r="I183" s="31"/>
      <c r="J183" s="32"/>
      <c r="K183" s="71" t="s">
        <v>137</v>
      </c>
      <c r="L183" s="23">
        <f>L181*SIN((C131*PI()/180))/SIN((C163*PI()/180)-(C131*PI()/180))</f>
        <v>0.557677535825205</v>
      </c>
      <c r="M183" s="59">
        <f>M151+L183</f>
        <v>1.5016612791830406</v>
      </c>
    </row>
    <row r="184" spans="1:13" ht="15.75">
      <c r="A184" s="27" t="s">
        <v>127</v>
      </c>
      <c r="B184" s="28"/>
      <c r="C184" s="29"/>
      <c r="D184" s="71" t="s">
        <v>109</v>
      </c>
      <c r="E184" s="44">
        <f>E182/E181</f>
        <v>-6.167905692361981E-17</v>
      </c>
      <c r="F184" s="59" t="s">
        <v>19</v>
      </c>
      <c r="H184" s="27" t="s">
        <v>118</v>
      </c>
      <c r="I184" s="28"/>
      <c r="J184" s="29"/>
      <c r="K184" s="71" t="s">
        <v>116</v>
      </c>
      <c r="L184" s="75">
        <f>E184</f>
        <v>-6.167905692361981E-17</v>
      </c>
      <c r="M184" s="59" t="s">
        <v>19</v>
      </c>
    </row>
    <row r="185" spans="1:13" ht="15.75">
      <c r="A185" s="30"/>
      <c r="B185" s="31"/>
      <c r="C185" s="32"/>
      <c r="D185" s="71" t="s">
        <v>110</v>
      </c>
      <c r="E185" s="44">
        <f>E183/E181</f>
        <v>0.03958333333333334</v>
      </c>
      <c r="F185" s="59" t="s">
        <v>19</v>
      </c>
      <c r="H185" s="34"/>
      <c r="I185" s="9"/>
      <c r="J185" s="35"/>
      <c r="K185" s="71" t="s">
        <v>117</v>
      </c>
      <c r="L185" s="23">
        <f>M150+E185*COS(C163*PI()/180)+0.5*L181*SIN(C163*PI()/180)</f>
        <v>2.3697170952669406</v>
      </c>
      <c r="M185" s="59" t="s">
        <v>19</v>
      </c>
    </row>
    <row r="186" spans="8:13" ht="15.75">
      <c r="H186" s="30"/>
      <c r="I186" s="31"/>
      <c r="J186" s="32"/>
      <c r="K186" s="71" t="s">
        <v>245</v>
      </c>
      <c r="L186" s="23">
        <f>0.462+M151+E185*SIN(C163*PI()/180)-0.5*L181*COS(C163*PI()/180)</f>
        <v>1.4226500535565678</v>
      </c>
      <c r="M186" s="59" t="s">
        <v>19</v>
      </c>
    </row>
    <row r="187" spans="4:10" ht="15.75">
      <c r="D187" s="27" t="s">
        <v>26</v>
      </c>
      <c r="E187" s="28"/>
      <c r="F187" s="29"/>
      <c r="G187" s="20" t="s">
        <v>119</v>
      </c>
      <c r="H187" s="44">
        <f>E6*H158+L174*L178-2*E181*L181*L184+E174*E178</f>
        <v>3.23815048849004E-16</v>
      </c>
      <c r="I187" s="23" t="s">
        <v>56</v>
      </c>
      <c r="J187" s="21"/>
    </row>
    <row r="188" spans="4:13" ht="15.75">
      <c r="D188" s="34"/>
      <c r="E188" s="9"/>
      <c r="F188" s="35"/>
      <c r="G188" s="20" t="s">
        <v>120</v>
      </c>
      <c r="H188" s="44">
        <f>E6*H159+L174*L179-2*E181*L181*L185+E174*E179</f>
        <v>-2.0507331209870463</v>
      </c>
      <c r="I188" s="23" t="s">
        <v>37</v>
      </c>
      <c r="J188" s="21"/>
      <c r="K188" s="117" t="s">
        <v>250</v>
      </c>
      <c r="M188" s="54"/>
    </row>
    <row r="189" spans="4:13" ht="15.75">
      <c r="D189" s="30"/>
      <c r="E189" s="31"/>
      <c r="F189" s="32"/>
      <c r="G189" s="20" t="s">
        <v>121</v>
      </c>
      <c r="H189" s="44">
        <f>E6*H160+L174*L180-2*E181*L181*L186+E174*E180</f>
        <v>10.74099386145701</v>
      </c>
      <c r="I189" s="23" t="s">
        <v>36</v>
      </c>
      <c r="J189" s="21"/>
      <c r="M189" s="54"/>
    </row>
    <row r="190" spans="4:13" ht="12.75">
      <c r="D190" s="27" t="s">
        <v>122</v>
      </c>
      <c r="E190" s="28"/>
      <c r="F190" s="29"/>
      <c r="G190" s="20" t="s">
        <v>124</v>
      </c>
      <c r="H190" s="44">
        <f>H187/E6</f>
        <v>3.23815048849004E-17</v>
      </c>
      <c r="I190" s="33" t="s">
        <v>55</v>
      </c>
      <c r="J190" s="21"/>
      <c r="M190" s="54"/>
    </row>
    <row r="191" spans="4:10" ht="12.75">
      <c r="D191" s="34"/>
      <c r="E191" s="9"/>
      <c r="F191" s="35"/>
      <c r="G191" s="20" t="s">
        <v>125</v>
      </c>
      <c r="H191" s="44">
        <f>H188/E6</f>
        <v>-0.20507331209870464</v>
      </c>
      <c r="I191" s="33" t="s">
        <v>32</v>
      </c>
      <c r="J191" s="21"/>
    </row>
    <row r="192" spans="4:10" ht="12.75">
      <c r="D192" s="30"/>
      <c r="E192" s="31"/>
      <c r="F192" s="32"/>
      <c r="G192" s="72" t="s">
        <v>123</v>
      </c>
      <c r="H192" s="44">
        <f>H189/E6</f>
        <v>1.074099386145701</v>
      </c>
      <c r="I192" s="33" t="s">
        <v>24</v>
      </c>
      <c r="J192" s="21"/>
    </row>
    <row r="193" spans="4:10" ht="12.75">
      <c r="D193" s="22" t="s">
        <v>59</v>
      </c>
      <c r="E193" s="23"/>
      <c r="F193" s="21"/>
      <c r="G193" s="72" t="s">
        <v>126</v>
      </c>
      <c r="H193" s="44">
        <f>(H191+(H192-E10)*TAN(C163*PI()/180))*COS(C163*PI()/180)-M8*SIN(C163*PI()/180)</f>
        <v>0.018497631976901133</v>
      </c>
      <c r="I193" s="33" t="s">
        <v>19</v>
      </c>
      <c r="J193" s="21"/>
    </row>
    <row r="195" spans="1:14" ht="12.75">
      <c r="A195" s="51" t="s">
        <v>51</v>
      </c>
      <c r="B195" s="50"/>
      <c r="C195" s="52">
        <v>90</v>
      </c>
      <c r="D195" s="12">
        <v>0</v>
      </c>
      <c r="E195" s="46">
        <v>1</v>
      </c>
      <c r="F195" s="12">
        <v>2</v>
      </c>
      <c r="G195" s="12">
        <v>3</v>
      </c>
      <c r="H195" s="12">
        <v>4</v>
      </c>
      <c r="I195" s="12">
        <v>5</v>
      </c>
      <c r="J195" s="12">
        <v>6</v>
      </c>
      <c r="K195" s="12">
        <v>7</v>
      </c>
      <c r="L195" s="12">
        <v>8</v>
      </c>
      <c r="M195" s="12">
        <v>9</v>
      </c>
      <c r="N195" s="12">
        <v>10</v>
      </c>
    </row>
    <row r="196" spans="1:14" ht="12.75">
      <c r="A196" s="22" t="s">
        <v>23</v>
      </c>
      <c r="B196" s="23"/>
      <c r="C196" s="59" t="s">
        <v>19</v>
      </c>
      <c r="D196" s="106">
        <v>-1</v>
      </c>
      <c r="E196" s="106">
        <v>-1</v>
      </c>
      <c r="F196" s="106">
        <v>-1</v>
      </c>
      <c r="G196" s="106">
        <v>-1</v>
      </c>
      <c r="H196" s="106">
        <v>-1</v>
      </c>
      <c r="I196" s="5">
        <v>0</v>
      </c>
      <c r="J196" s="4">
        <v>1</v>
      </c>
      <c r="K196" s="4">
        <v>1</v>
      </c>
      <c r="L196" s="4">
        <v>1</v>
      </c>
      <c r="M196" s="4">
        <v>1</v>
      </c>
      <c r="N196" s="4">
        <v>1</v>
      </c>
    </row>
    <row r="197" spans="1:14" ht="14.25">
      <c r="A197" s="22" t="s">
        <v>83</v>
      </c>
      <c r="B197" s="23"/>
      <c r="C197" s="59" t="s">
        <v>33</v>
      </c>
      <c r="D197" s="76">
        <v>0</v>
      </c>
      <c r="E197" s="77">
        <v>-0.025</v>
      </c>
      <c r="F197" s="76">
        <v>-0.05</v>
      </c>
      <c r="G197" s="76">
        <v>-0.075</v>
      </c>
      <c r="H197" s="76">
        <v>-0.1</v>
      </c>
      <c r="I197" s="76">
        <v>-0.1</v>
      </c>
      <c r="J197" s="76">
        <v>-0.1</v>
      </c>
      <c r="K197" s="76">
        <v>-0.075</v>
      </c>
      <c r="L197" s="76">
        <v>-0.05</v>
      </c>
      <c r="M197" s="76">
        <v>-0.025</v>
      </c>
      <c r="N197" s="76">
        <v>0</v>
      </c>
    </row>
    <row r="198" spans="1:14" ht="12.75">
      <c r="A198" s="22" t="s">
        <v>74</v>
      </c>
      <c r="B198" s="23"/>
      <c r="C198" s="59" t="s">
        <v>19</v>
      </c>
      <c r="D198" s="38">
        <v>0.2</v>
      </c>
      <c r="E198" s="38">
        <v>0.2</v>
      </c>
      <c r="F198" s="38">
        <v>0.2</v>
      </c>
      <c r="G198" s="38">
        <v>0.2</v>
      </c>
      <c r="H198" s="38">
        <v>0.2</v>
      </c>
      <c r="I198" s="38">
        <v>0.2</v>
      </c>
      <c r="J198" s="38">
        <v>0.2</v>
      </c>
      <c r="K198" s="38">
        <v>0.2</v>
      </c>
      <c r="L198" s="38">
        <v>0.2</v>
      </c>
      <c r="M198" s="38">
        <v>0.2</v>
      </c>
      <c r="N198" s="38">
        <v>0.2</v>
      </c>
    </row>
    <row r="199" spans="1:14" ht="12.75">
      <c r="A199" s="27" t="s">
        <v>75</v>
      </c>
      <c r="B199" s="9"/>
      <c r="C199" s="62" t="s">
        <v>19</v>
      </c>
      <c r="D199" s="38">
        <v>-0.2</v>
      </c>
      <c r="E199" s="38">
        <v>-0.2</v>
      </c>
      <c r="F199" s="38">
        <v>-0.2</v>
      </c>
      <c r="G199" s="38">
        <v>-0.2</v>
      </c>
      <c r="H199" s="38">
        <v>-0.2</v>
      </c>
      <c r="I199" s="38">
        <v>-0.2</v>
      </c>
      <c r="J199" s="38">
        <v>-0.2</v>
      </c>
      <c r="K199" s="38">
        <v>-0.2</v>
      </c>
      <c r="L199" s="38">
        <v>-0.2</v>
      </c>
      <c r="M199" s="38">
        <v>-0.2</v>
      </c>
      <c r="N199" s="38">
        <v>-0.2</v>
      </c>
    </row>
    <row r="200" spans="1:14" ht="15.75">
      <c r="A200" s="22" t="s">
        <v>85</v>
      </c>
      <c r="B200" s="23"/>
      <c r="C200" s="60" t="s">
        <v>19</v>
      </c>
      <c r="D200" s="76">
        <v>0</v>
      </c>
      <c r="E200" s="77">
        <v>-0.025</v>
      </c>
      <c r="F200" s="76">
        <v>-0.05</v>
      </c>
      <c r="G200" s="76">
        <v>-0.075</v>
      </c>
      <c r="H200" s="76">
        <v>-0.1</v>
      </c>
      <c r="I200" s="76">
        <v>-0.1</v>
      </c>
      <c r="J200" s="76">
        <v>-0.1</v>
      </c>
      <c r="K200" s="76">
        <v>-0.075</v>
      </c>
      <c r="L200" s="76">
        <v>-0.05</v>
      </c>
      <c r="M200" s="76">
        <v>-0.025</v>
      </c>
      <c r="N200" s="76">
        <v>0</v>
      </c>
    </row>
    <row r="201" spans="1:14" ht="14.25">
      <c r="A201" s="22" t="s">
        <v>84</v>
      </c>
      <c r="B201" s="23"/>
      <c r="C201" s="59" t="s">
        <v>33</v>
      </c>
      <c r="D201" s="76">
        <v>0</v>
      </c>
      <c r="E201" s="76">
        <v>0.05</v>
      </c>
      <c r="F201" s="76">
        <v>0.1</v>
      </c>
      <c r="G201" s="76">
        <v>0.15</v>
      </c>
      <c r="H201" s="76">
        <v>0.2</v>
      </c>
      <c r="I201" s="76">
        <v>0.2</v>
      </c>
      <c r="J201" s="76">
        <v>0.2</v>
      </c>
      <c r="K201" s="76">
        <v>0.15</v>
      </c>
      <c r="L201" s="76">
        <v>0.1</v>
      </c>
      <c r="M201" s="76">
        <v>0.05</v>
      </c>
      <c r="N201" s="76">
        <v>0</v>
      </c>
    </row>
    <row r="202" spans="1:14" ht="12.75">
      <c r="A202" s="22" t="s">
        <v>74</v>
      </c>
      <c r="B202" s="23"/>
      <c r="C202" s="59" t="s">
        <v>19</v>
      </c>
      <c r="D202" s="38">
        <v>0.6</v>
      </c>
      <c r="E202" s="38">
        <v>0.6</v>
      </c>
      <c r="F202" s="38">
        <v>0.6</v>
      </c>
      <c r="G202" s="38">
        <v>0.6</v>
      </c>
      <c r="H202" s="38">
        <v>0.6</v>
      </c>
      <c r="I202" s="38">
        <v>0.6</v>
      </c>
      <c r="J202" s="38">
        <v>0.6</v>
      </c>
      <c r="K202" s="38">
        <v>0.6</v>
      </c>
      <c r="L202" s="38">
        <v>0.6</v>
      </c>
      <c r="M202" s="38">
        <v>0.6</v>
      </c>
      <c r="N202" s="38">
        <v>0.6</v>
      </c>
    </row>
    <row r="203" spans="1:14" ht="12.75">
      <c r="A203" s="22" t="s">
        <v>75</v>
      </c>
      <c r="B203" s="23"/>
      <c r="C203" s="60" t="s">
        <v>19</v>
      </c>
      <c r="D203" s="38">
        <v>0.2</v>
      </c>
      <c r="E203" s="38">
        <v>0.2</v>
      </c>
      <c r="F203" s="38">
        <v>0.2</v>
      </c>
      <c r="G203" s="38">
        <v>0.2</v>
      </c>
      <c r="H203" s="38">
        <v>0.2</v>
      </c>
      <c r="I203" s="38">
        <v>0.2</v>
      </c>
      <c r="J203" s="38">
        <v>0.2</v>
      </c>
      <c r="K203" s="38">
        <v>0.2</v>
      </c>
      <c r="L203" s="38">
        <v>0.2</v>
      </c>
      <c r="M203" s="38">
        <v>0.2</v>
      </c>
      <c r="N203" s="38">
        <v>0.2</v>
      </c>
    </row>
    <row r="204" spans="1:14" ht="15.75">
      <c r="A204" s="22" t="s">
        <v>86</v>
      </c>
      <c r="B204" s="23"/>
      <c r="C204" s="60" t="s">
        <v>19</v>
      </c>
      <c r="D204" s="76">
        <v>0</v>
      </c>
      <c r="E204" s="76">
        <v>0.05</v>
      </c>
      <c r="F204" s="76">
        <v>0.1</v>
      </c>
      <c r="G204" s="76">
        <v>0.15</v>
      </c>
      <c r="H204" s="76">
        <v>0.2</v>
      </c>
      <c r="I204" s="76">
        <v>0.2</v>
      </c>
      <c r="J204" s="76">
        <v>0.2</v>
      </c>
      <c r="K204" s="76">
        <v>0.15</v>
      </c>
      <c r="L204" s="76">
        <v>0.1</v>
      </c>
      <c r="M204" s="76">
        <v>0.05</v>
      </c>
      <c r="N204" s="76">
        <v>0</v>
      </c>
    </row>
    <row r="206" spans="1:14" ht="15.75">
      <c r="A206" s="24" t="s">
        <v>87</v>
      </c>
      <c r="B206" s="25"/>
      <c r="C206" s="26"/>
      <c r="D206" s="20" t="s">
        <v>88</v>
      </c>
      <c r="E206" s="44">
        <f>(J196-I196)*(0.5*D197+E197+F197+G197+H197+I197+J197+K197+L197+M197+0.5*N197)</f>
        <v>-0.6</v>
      </c>
      <c r="F206" s="70" t="s">
        <v>34</v>
      </c>
      <c r="G206" s="34"/>
      <c r="H206" s="24" t="s">
        <v>98</v>
      </c>
      <c r="I206" s="25"/>
      <c r="J206" s="26"/>
      <c r="K206" s="20" t="s">
        <v>101</v>
      </c>
      <c r="L206" s="44">
        <f>(J196-I196)*(0.5*D201+E201+F201+G201+H201+I201+J201+K201+L201+M201+0.5*N201)</f>
        <v>1.2</v>
      </c>
      <c r="M206" s="70" t="s">
        <v>34</v>
      </c>
      <c r="N206" s="34"/>
    </row>
    <row r="207" spans="1:14" ht="15.75">
      <c r="A207" s="47" t="s">
        <v>89</v>
      </c>
      <c r="B207" s="48"/>
      <c r="C207" s="49"/>
      <c r="D207" s="20" t="s">
        <v>90</v>
      </c>
      <c r="E207" s="44">
        <f>(J196-I196)*(J196-I196)*((-2.5)*D197+(-4)*E197+(-3)*F197+(-2)*G197-H197+J197+2*K197+3*L197+4*M197+2.5*N197)</f>
        <v>-2.7755575615628914E-17</v>
      </c>
      <c r="F207" s="70" t="s">
        <v>91</v>
      </c>
      <c r="G207" s="34"/>
      <c r="H207" s="47" t="s">
        <v>99</v>
      </c>
      <c r="I207" s="48"/>
      <c r="J207" s="49"/>
      <c r="K207" s="20" t="s">
        <v>102</v>
      </c>
      <c r="L207" s="44">
        <f>(J196-I196)*(J196-I196)*((-2.5)*D201+(-4)*E201+(-3)*F201+(-2)*G201-H201+J201+2*K201+3*L201+4*M201+2.5*N201)</f>
        <v>5.551115123125783E-17</v>
      </c>
      <c r="M207" s="70" t="s">
        <v>91</v>
      </c>
      <c r="N207" s="34"/>
    </row>
    <row r="208" spans="1:14" ht="15.75">
      <c r="A208" s="63"/>
      <c r="B208" s="64"/>
      <c r="C208" s="65"/>
      <c r="D208" s="20" t="s">
        <v>92</v>
      </c>
      <c r="E208" s="44">
        <f>(J196-I196)*(0.5*D197*D199+E197*E199+F197*F199+G197*G199+H197*H199+I197*I199+J197*J199+K197*K199+L197*L199+M197*M199+0.5*N197*N199)</f>
        <v>0.12000000000000002</v>
      </c>
      <c r="F208" s="70" t="s">
        <v>35</v>
      </c>
      <c r="G208" s="34"/>
      <c r="H208" s="63"/>
      <c r="I208" s="64"/>
      <c r="J208" s="65"/>
      <c r="K208" s="20" t="s">
        <v>103</v>
      </c>
      <c r="L208" s="44">
        <f>(J196-I196)*(0.5*D201*D203+E201*E203+F201*F203+G201*G203+H201*H203+I201*I203+J201*J203+K201*K203+L201*L203+M201*M203+0.5*N201*N203)</f>
        <v>0.24000000000000005</v>
      </c>
      <c r="M208" s="70" t="s">
        <v>35</v>
      </c>
      <c r="N208" s="34"/>
    </row>
    <row r="209" spans="1:14" ht="15.75">
      <c r="A209" s="66"/>
      <c r="B209" s="67"/>
      <c r="C209" s="68"/>
      <c r="D209" s="20" t="s">
        <v>93</v>
      </c>
      <c r="E209" s="44">
        <f>(J196-I196)*(0.5*D197*D198+E197*E198+F197*F198+G197*G198+H197*H198+I197*I198+J197*J198+K197*K198+L197*L198+M197*M198+0.5*N197*N198)</f>
        <v>-0.12000000000000002</v>
      </c>
      <c r="F209" s="70" t="s">
        <v>35</v>
      </c>
      <c r="G209" s="34"/>
      <c r="H209" s="66"/>
      <c r="I209" s="67"/>
      <c r="J209" s="68"/>
      <c r="K209" s="20" t="s">
        <v>104</v>
      </c>
      <c r="L209" s="44">
        <f>(J196-I196)*(0.5*D201*D202+E201*E202+F201*F202+G201*G202+H201*H202+I201*I202+J201*J202+K201*K202+L201*L202+M201*M202+0.5*N201*N202)</f>
        <v>0.72</v>
      </c>
      <c r="M209" s="70" t="s">
        <v>35</v>
      </c>
      <c r="N209" s="34"/>
    </row>
    <row r="210" spans="1:14" ht="15.75">
      <c r="A210" s="63" t="s">
        <v>94</v>
      </c>
      <c r="B210" s="64"/>
      <c r="C210" s="49"/>
      <c r="D210" s="20" t="s">
        <v>95</v>
      </c>
      <c r="E210" s="44">
        <f>E207/E206</f>
        <v>4.625929269271486E-17</v>
      </c>
      <c r="F210" s="70" t="s">
        <v>19</v>
      </c>
      <c r="G210" s="34"/>
      <c r="H210" s="63" t="s">
        <v>100</v>
      </c>
      <c r="I210" s="64"/>
      <c r="J210" s="49"/>
      <c r="K210" s="20" t="s">
        <v>105</v>
      </c>
      <c r="L210" s="44">
        <f>L207/L206</f>
        <v>4.625929269271486E-17</v>
      </c>
      <c r="M210" s="70" t="s">
        <v>19</v>
      </c>
      <c r="N210" s="34"/>
    </row>
    <row r="211" spans="1:14" ht="15.75">
      <c r="A211" s="63"/>
      <c r="B211" s="64"/>
      <c r="C211" s="65"/>
      <c r="D211" s="20" t="s">
        <v>96</v>
      </c>
      <c r="E211" s="44">
        <f>E208/E206</f>
        <v>-0.20000000000000004</v>
      </c>
      <c r="F211" s="70" t="s">
        <v>19</v>
      </c>
      <c r="G211" s="34"/>
      <c r="H211" s="63"/>
      <c r="I211" s="64"/>
      <c r="J211" s="65"/>
      <c r="K211" s="20" t="s">
        <v>106</v>
      </c>
      <c r="L211" s="44">
        <f>L208/L206</f>
        <v>0.20000000000000004</v>
      </c>
      <c r="M211" s="70" t="s">
        <v>19</v>
      </c>
      <c r="N211" s="34"/>
    </row>
    <row r="212" spans="1:14" ht="15.75">
      <c r="A212" s="66"/>
      <c r="B212" s="67"/>
      <c r="C212" s="68"/>
      <c r="D212" s="69" t="s">
        <v>97</v>
      </c>
      <c r="E212" s="44">
        <f>E209/E206</f>
        <v>0.20000000000000004</v>
      </c>
      <c r="F212" s="70" t="s">
        <v>19</v>
      </c>
      <c r="G212" s="34"/>
      <c r="H212" s="66"/>
      <c r="I212" s="67"/>
      <c r="J212" s="68"/>
      <c r="K212" s="69" t="s">
        <v>107</v>
      </c>
      <c r="L212" s="44">
        <f>L209/L206</f>
        <v>0.6</v>
      </c>
      <c r="M212" s="70" t="s">
        <v>19</v>
      </c>
      <c r="N212" s="34"/>
    </row>
    <row r="213" spans="1:13" ht="15.75">
      <c r="A213" s="22" t="s">
        <v>52</v>
      </c>
      <c r="B213" s="23"/>
      <c r="C213" s="21"/>
      <c r="D213" s="71" t="s">
        <v>108</v>
      </c>
      <c r="E213" s="44">
        <f>(0.5*(D204-D200)+E204-E200+F204-F200+G204-G200+H204-H200+I204-I200+J204-J200+K204-K200+L204-L200+M204-M200+0.5*(N204-N200))*(J196-I196)</f>
        <v>1.8</v>
      </c>
      <c r="F213" s="59" t="s">
        <v>33</v>
      </c>
      <c r="H213" s="22" t="s">
        <v>53</v>
      </c>
      <c r="I213" s="23"/>
      <c r="J213" s="21"/>
      <c r="K213" s="71" t="s">
        <v>114</v>
      </c>
      <c r="L213" s="23">
        <f>0.5*(L206+E206)/E213</f>
        <v>0.16666666666666666</v>
      </c>
      <c r="M213" s="59" t="s">
        <v>19</v>
      </c>
    </row>
    <row r="214" spans="1:13" ht="15.75">
      <c r="A214" s="27" t="s">
        <v>111</v>
      </c>
      <c r="B214" s="28"/>
      <c r="C214" s="29"/>
      <c r="D214" s="71" t="s">
        <v>112</v>
      </c>
      <c r="E214" s="44">
        <f>(J196-I196)*(J196-I196)*((-2.5)*(D204-D200)+(-4)*(E204-E200)+(-3)*(F204-F200)+(-2)*(G204-G200)-(H204-H200)+J204-J200+2*(K204-K200)+3*(L204-L200)+4*(M204-M200)+2.5*(N204-N200))</f>
        <v>-1.1102230246251565E-16</v>
      </c>
      <c r="F214" s="60" t="s">
        <v>19</v>
      </c>
      <c r="H214" s="27" t="s">
        <v>115</v>
      </c>
      <c r="I214" s="28"/>
      <c r="J214" s="29"/>
      <c r="K214" s="71" t="s">
        <v>138</v>
      </c>
      <c r="L214" s="23">
        <f>L213*COS((C163*PI()/180))/SIN((C195*PI()/180)-(C163*PI()/180))</f>
        <v>0.16666666666666669</v>
      </c>
      <c r="M214" s="59">
        <f>M182+L214</f>
        <v>2.767620297970566</v>
      </c>
    </row>
    <row r="215" spans="1:13" ht="15.75">
      <c r="A215" s="30"/>
      <c r="B215" s="31"/>
      <c r="C215" s="32"/>
      <c r="D215" s="71" t="s">
        <v>113</v>
      </c>
      <c r="E215" s="44">
        <f>0.5*(J196-I196)*(0.5*(D204-D200)*(D204+B164)+(E204-E200)*(E204+E200)+(F204-F200)*(F204+F200)+(G204-G200)*(G204+G200)+(H204-H200)*(H204+H200)+(I204-I200)*(I204+I200)+(J204-J200)*(J204+J200)+(K204-K200)*(K204+K200)+(L204-L200)*(L204+L200)+(M204-M200)*(M204+M200)+0.5*(N204-N200)*(N204+N200))</f>
        <v>0.07125000000000001</v>
      </c>
      <c r="F215" s="60" t="s">
        <v>19</v>
      </c>
      <c r="H215" s="30"/>
      <c r="I215" s="31"/>
      <c r="J215" s="32"/>
      <c r="K215" s="71" t="s">
        <v>139</v>
      </c>
      <c r="L215" s="23">
        <f>L213*SIN((C163*PI()/180))/SIN((C195*PI()/180)-(C163*PI()/180))</f>
        <v>0.6220084679281463</v>
      </c>
      <c r="M215" s="59">
        <f>M183+L215</f>
        <v>2.1236697471111867</v>
      </c>
    </row>
    <row r="216" spans="1:13" ht="15.75">
      <c r="A216" s="27" t="s">
        <v>127</v>
      </c>
      <c r="B216" s="28"/>
      <c r="C216" s="29"/>
      <c r="D216" s="71" t="s">
        <v>109</v>
      </c>
      <c r="E216" s="44">
        <f>E214/E213</f>
        <v>-6.167905692361981E-17</v>
      </c>
      <c r="F216" s="59" t="s">
        <v>19</v>
      </c>
      <c r="H216" s="27" t="s">
        <v>118</v>
      </c>
      <c r="I216" s="28"/>
      <c r="J216" s="29"/>
      <c r="K216" s="71" t="s">
        <v>116</v>
      </c>
      <c r="L216" s="75">
        <f>E216</f>
        <v>-6.167905692361981E-17</v>
      </c>
      <c r="M216" s="59" t="s">
        <v>19</v>
      </c>
    </row>
    <row r="217" spans="1:13" ht="15.75">
      <c r="A217" s="30"/>
      <c r="B217" s="31"/>
      <c r="C217" s="32"/>
      <c r="D217" s="71" t="s">
        <v>110</v>
      </c>
      <c r="E217" s="44">
        <f>E215/E213</f>
        <v>0.03958333333333334</v>
      </c>
      <c r="F217" s="59" t="s">
        <v>19</v>
      </c>
      <c r="H217" s="34"/>
      <c r="I217" s="9"/>
      <c r="J217" s="35"/>
      <c r="K217" s="71" t="s">
        <v>117</v>
      </c>
      <c r="L217" s="23">
        <f>M182+E217*COS(C195*PI()/180)+0.5*L213*SIN(C195*PI()/180)</f>
        <v>2.684286964637233</v>
      </c>
      <c r="M217" s="59" t="s">
        <v>19</v>
      </c>
    </row>
    <row r="218" spans="8:13" ht="15.75">
      <c r="H218" s="30"/>
      <c r="I218" s="31"/>
      <c r="J218" s="32"/>
      <c r="K218" s="71" t="s">
        <v>245</v>
      </c>
      <c r="L218" s="23">
        <f>0.462+M183+E217*SIN(C195*PI()/180)-0.5*L213*COS(C195*PI()/180)</f>
        <v>2.003244612516374</v>
      </c>
      <c r="M218" s="59" t="s">
        <v>19</v>
      </c>
    </row>
    <row r="219" spans="4:10" ht="15.75">
      <c r="D219" s="27" t="s">
        <v>26</v>
      </c>
      <c r="E219" s="28"/>
      <c r="F219" s="29"/>
      <c r="G219" s="20" t="s">
        <v>119</v>
      </c>
      <c r="H219" s="44">
        <f>E6*H190+L206*L210-2*E213*L213*L216+E206*E210</f>
        <v>3.8857805861880484E-16</v>
      </c>
      <c r="I219" s="23" t="s">
        <v>56</v>
      </c>
      <c r="J219" s="21"/>
    </row>
    <row r="220" spans="4:13" ht="15.75">
      <c r="D220" s="34"/>
      <c r="E220" s="9"/>
      <c r="F220" s="35"/>
      <c r="G220" s="20" t="s">
        <v>120</v>
      </c>
      <c r="H220" s="44">
        <f>E6*H191+L206*L211-2*E213*L213*L217+E206*E211</f>
        <v>-3.301305299769386</v>
      </c>
      <c r="I220" s="23" t="s">
        <v>37</v>
      </c>
      <c r="J220" s="21"/>
      <c r="K220" s="117" t="s">
        <v>250</v>
      </c>
      <c r="M220" s="54"/>
    </row>
    <row r="221" spans="4:13" ht="15.75">
      <c r="D221" s="30"/>
      <c r="E221" s="31"/>
      <c r="F221" s="32"/>
      <c r="G221" s="20" t="s">
        <v>121</v>
      </c>
      <c r="H221" s="44">
        <f>E6*H192+L206*L212-2*E213*L213*L218+E206*E212</f>
        <v>10.139047093947188</v>
      </c>
      <c r="I221" s="23" t="s">
        <v>36</v>
      </c>
      <c r="J221" s="21"/>
      <c r="M221" s="54"/>
    </row>
    <row r="222" spans="4:13" ht="12.75">
      <c r="D222" s="27" t="s">
        <v>122</v>
      </c>
      <c r="E222" s="28"/>
      <c r="F222" s="29"/>
      <c r="G222" s="20" t="s">
        <v>124</v>
      </c>
      <c r="H222" s="44">
        <f>H219/E6</f>
        <v>3.885780586188048E-17</v>
      </c>
      <c r="I222" s="33" t="s">
        <v>55</v>
      </c>
      <c r="J222" s="21"/>
      <c r="M222" s="54"/>
    </row>
    <row r="223" spans="4:10" ht="12.75">
      <c r="D223" s="34"/>
      <c r="E223" s="9"/>
      <c r="F223" s="35"/>
      <c r="G223" s="20" t="s">
        <v>125</v>
      </c>
      <c r="H223" s="44">
        <f>H220/E6</f>
        <v>-0.3301305299769386</v>
      </c>
      <c r="I223" s="33" t="s">
        <v>32</v>
      </c>
      <c r="J223" s="21"/>
    </row>
    <row r="224" spans="4:10" ht="12.75">
      <c r="D224" s="30"/>
      <c r="E224" s="31"/>
      <c r="F224" s="32"/>
      <c r="G224" s="72" t="s">
        <v>123</v>
      </c>
      <c r="H224" s="44">
        <f>H221/E6</f>
        <v>1.0139047093947187</v>
      </c>
      <c r="I224" s="33" t="s">
        <v>24</v>
      </c>
      <c r="J224" s="21"/>
    </row>
    <row r="225" spans="4:10" ht="12.75">
      <c r="D225" s="22" t="s">
        <v>59</v>
      </c>
      <c r="E225" s="23"/>
      <c r="F225" s="21"/>
      <c r="G225" s="72" t="s">
        <v>126</v>
      </c>
      <c r="H225" s="44">
        <f>(H223+(H224-E10)*TAN(C195*PI()/180))*COS(C195*PI()/180)-M8*SIN(C195*PI()/180)</f>
        <v>0.013904709394718641</v>
      </c>
      <c r="I225" s="33" t="s">
        <v>19</v>
      </c>
      <c r="J225" s="21"/>
    </row>
  </sheetData>
  <printOptions/>
  <pageMargins left="0.75" right="0.75" top="1" bottom="1" header="0.5" footer="0.5"/>
  <pageSetup horizontalDpi="240" verticalDpi="24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20.28125" style="0" customWidth="1"/>
    <col min="3" max="14" width="8.28125" style="0" customWidth="1"/>
  </cols>
  <sheetData>
    <row r="1" spans="1:9" ht="12.75">
      <c r="A1" s="1" t="s">
        <v>255</v>
      </c>
      <c r="B1" s="1"/>
      <c r="C1" s="1"/>
      <c r="D1" s="1"/>
      <c r="E1" s="1"/>
      <c r="F1" s="1"/>
      <c r="G1" s="1"/>
      <c r="H1" s="1"/>
      <c r="I1" s="1"/>
    </row>
    <row r="2" spans="1:10" ht="12.75">
      <c r="A2" s="78"/>
      <c r="B2" s="56" t="s">
        <v>140</v>
      </c>
      <c r="C2" s="8" t="s">
        <v>63</v>
      </c>
      <c r="D2" s="8">
        <v>0</v>
      </c>
      <c r="E2" s="8">
        <v>15</v>
      </c>
      <c r="F2" s="8">
        <v>30</v>
      </c>
      <c r="G2" s="8">
        <v>45</v>
      </c>
      <c r="H2" s="8" t="s">
        <v>142</v>
      </c>
      <c r="I2" s="8">
        <v>75</v>
      </c>
      <c r="J2" s="8">
        <v>90</v>
      </c>
    </row>
    <row r="3" spans="1:11" ht="15.75">
      <c r="A3" s="136" t="s">
        <v>251</v>
      </c>
      <c r="B3" t="s">
        <v>254</v>
      </c>
      <c r="C3" s="8" t="s">
        <v>19</v>
      </c>
      <c r="D3" s="8">
        <v>0</v>
      </c>
      <c r="E3" s="14">
        <v>0.2056</v>
      </c>
      <c r="F3" s="14">
        <v>0.3574</v>
      </c>
      <c r="G3" s="14">
        <v>0.4779</v>
      </c>
      <c r="H3" s="14">
        <v>0.4876</v>
      </c>
      <c r="I3" s="14">
        <v>0.3283</v>
      </c>
      <c r="J3" s="14">
        <v>0.1051</v>
      </c>
      <c r="K3" t="s">
        <v>256</v>
      </c>
    </row>
    <row r="4" spans="1:10" ht="15.75">
      <c r="A4" s="136"/>
      <c r="B4" t="s">
        <v>211</v>
      </c>
      <c r="C4" s="8" t="s">
        <v>19</v>
      </c>
      <c r="D4" s="8">
        <v>0</v>
      </c>
      <c r="E4" s="14">
        <f>H4/4</f>
        <v>0.24665</v>
      </c>
      <c r="F4" s="14">
        <f>E4*2</f>
        <v>0.4933</v>
      </c>
      <c r="G4" s="14">
        <f>SUM(E4:F4)</f>
        <v>0.73995</v>
      </c>
      <c r="H4" s="14">
        <v>0.9866</v>
      </c>
      <c r="I4" s="14" t="s">
        <v>64</v>
      </c>
      <c r="J4" s="14" t="s">
        <v>64</v>
      </c>
    </row>
    <row r="5" spans="1:10" ht="15.75">
      <c r="A5" s="136" t="s">
        <v>252</v>
      </c>
      <c r="B5" t="s">
        <v>141</v>
      </c>
      <c r="C5" s="8" t="s">
        <v>19</v>
      </c>
      <c r="D5" s="8">
        <v>0</v>
      </c>
      <c r="E5" s="14">
        <v>0.2235</v>
      </c>
      <c r="F5" s="14">
        <v>0.3683</v>
      </c>
      <c r="G5" s="14">
        <v>0.3979</v>
      </c>
      <c r="H5" s="14">
        <v>0.3332</v>
      </c>
      <c r="I5" s="14">
        <v>0.2636</v>
      </c>
      <c r="J5" s="14">
        <v>0.119</v>
      </c>
    </row>
    <row r="6" spans="1:10" ht="15.75">
      <c r="A6" s="136"/>
      <c r="B6" t="s">
        <v>212</v>
      </c>
      <c r="C6" s="8" t="s">
        <v>19</v>
      </c>
      <c r="D6" s="8">
        <v>0</v>
      </c>
      <c r="E6" s="14">
        <f>H6/4</f>
        <v>0.2329</v>
      </c>
      <c r="F6" s="14">
        <f>E6*2</f>
        <v>0.4658</v>
      </c>
      <c r="G6" s="14">
        <f>SUM(E6:F6)</f>
        <v>0.6987</v>
      </c>
      <c r="H6" s="14">
        <v>0.9316</v>
      </c>
      <c r="I6" s="14" t="s">
        <v>64</v>
      </c>
      <c r="J6" s="14" t="s">
        <v>64</v>
      </c>
    </row>
    <row r="7" spans="1:10" ht="15.75">
      <c r="A7" s="136" t="s">
        <v>253</v>
      </c>
      <c r="B7" t="s">
        <v>141</v>
      </c>
      <c r="C7" s="8" t="s">
        <v>19</v>
      </c>
      <c r="D7" s="8">
        <v>0</v>
      </c>
      <c r="E7" s="14">
        <v>0.1872</v>
      </c>
      <c r="F7" s="14">
        <v>0.2867</v>
      </c>
      <c r="G7" s="14">
        <v>0.3074</v>
      </c>
      <c r="H7" s="14">
        <v>0.2834</v>
      </c>
      <c r="I7" s="14">
        <v>0.2317</v>
      </c>
      <c r="J7" s="14">
        <v>0.1641</v>
      </c>
    </row>
    <row r="8" spans="1:10" ht="15.75">
      <c r="A8" s="136"/>
      <c r="B8" t="s">
        <v>213</v>
      </c>
      <c r="C8" s="8" t="s">
        <v>19</v>
      </c>
      <c r="D8" s="8">
        <v>0</v>
      </c>
      <c r="E8" s="14">
        <f>H8/4</f>
        <v>0.1767</v>
      </c>
      <c r="F8" s="14">
        <f>E8*2</f>
        <v>0.3534</v>
      </c>
      <c r="G8" s="14">
        <f>SUM(E8:F8)</f>
        <v>0.5301</v>
      </c>
      <c r="H8" s="14">
        <v>0.7068</v>
      </c>
      <c r="I8" s="14" t="s">
        <v>64</v>
      </c>
      <c r="J8" s="14" t="s">
        <v>64</v>
      </c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10" ht="12.75">
      <c r="A37" s="6"/>
      <c r="B37" s="56"/>
      <c r="C37" s="8"/>
      <c r="D37" s="8"/>
      <c r="E37" s="8"/>
      <c r="F37" s="8"/>
      <c r="G37" s="8"/>
      <c r="H37" s="8"/>
      <c r="I37" s="8"/>
      <c r="J37" s="8"/>
    </row>
    <row r="38" spans="1:10" ht="15.75" customHeight="1">
      <c r="A38" s="6"/>
      <c r="C38" s="8"/>
      <c r="D38" s="8"/>
      <c r="E38" s="8"/>
      <c r="F38" s="8"/>
      <c r="G38" s="8"/>
      <c r="H38" s="8"/>
      <c r="I38" s="8"/>
      <c r="J38" s="8"/>
    </row>
    <row r="39" spans="1:10" ht="15.75" customHeight="1">
      <c r="A39" s="6"/>
      <c r="C39" s="8"/>
      <c r="D39" s="8"/>
      <c r="E39" s="8"/>
      <c r="F39" s="8"/>
      <c r="G39" s="8"/>
      <c r="H39" s="8"/>
      <c r="I39" s="8"/>
      <c r="J39" s="8"/>
    </row>
    <row r="40" spans="1:10" ht="15.75" customHeight="1">
      <c r="A40" s="6"/>
      <c r="C40" s="8"/>
      <c r="D40" s="8"/>
      <c r="E40" s="8"/>
      <c r="F40" s="8"/>
      <c r="G40" s="8"/>
      <c r="H40" s="8"/>
      <c r="I40" s="8"/>
      <c r="J40" s="8"/>
    </row>
  </sheetData>
  <mergeCells count="3">
    <mergeCell ref="A3:A4"/>
    <mergeCell ref="A5:A6"/>
    <mergeCell ref="A7:A8"/>
  </mergeCells>
  <printOptions/>
  <pageMargins left="0.75" right="0.75" top="1" bottom="1" header="0.5" footer="0.5"/>
  <pageSetup horizontalDpi="240" verticalDpi="24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jozsef</dc:creator>
  <cp:keywords/>
  <dc:description/>
  <cp:lastModifiedBy>jozsibacsi</cp:lastModifiedBy>
  <cp:lastPrinted>2013-11-26T09:01:02Z</cp:lastPrinted>
  <dcterms:created xsi:type="dcterms:W3CDTF">2007-09-08T10:49:00Z</dcterms:created>
  <dcterms:modified xsi:type="dcterms:W3CDTF">2013-11-26T09:11:00Z</dcterms:modified>
  <cp:category/>
  <cp:version/>
  <cp:contentType/>
  <cp:contentStatus/>
</cp:coreProperties>
</file>