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60" windowHeight="6825" activeTab="0"/>
  </bookViews>
  <sheets>
    <sheet name="előlap" sheetId="1" r:id="rId1"/>
    <sheet name="mérettábla" sheetId="2" r:id="rId2"/>
    <sheet name="súlyszámítás" sheetId="3" r:id="rId3"/>
    <sheet name="bordák" sheetId="4" r:id="rId4"/>
    <sheet name="úszásvonalak" sheetId="5" r:id="rId5"/>
    <sheet name="stabilitásszámítás" sheetId="6" r:id="rId6"/>
    <sheet name="stabilitástábla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<sst xmlns="http://schemas.openxmlformats.org/spreadsheetml/2006/main" count="1017" uniqueCount="311">
  <si>
    <t>Teljes mérettáblázat</t>
  </si>
  <si>
    <t>I</t>
  </si>
  <si>
    <t>II</t>
  </si>
  <si>
    <t>III</t>
  </si>
  <si>
    <t>fedélzet</t>
  </si>
  <si>
    <t>x</t>
  </si>
  <si>
    <t>y</t>
  </si>
  <si>
    <t>z</t>
  </si>
  <si>
    <t>far/orr</t>
  </si>
  <si>
    <t>WL10</t>
  </si>
  <si>
    <t>WL9</t>
  </si>
  <si>
    <t>WL8</t>
  </si>
  <si>
    <t>WL7</t>
  </si>
  <si>
    <t>CWL</t>
  </si>
  <si>
    <t>WL6</t>
  </si>
  <si>
    <t>WL5</t>
  </si>
  <si>
    <t>WL4</t>
  </si>
  <si>
    <t>WL3</t>
  </si>
  <si>
    <t>WL2</t>
  </si>
  <si>
    <t>WL1</t>
  </si>
  <si>
    <t>~</t>
  </si>
  <si>
    <t>Merülés, m</t>
  </si>
  <si>
    <t>Trim, m</t>
  </si>
  <si>
    <t>Metacentrikus magasság KM, m</t>
  </si>
  <si>
    <t>Rendszer-súlypont magassága KG, m</t>
  </si>
  <si>
    <t>Kezdeti stabilitás MG, m</t>
  </si>
  <si>
    <t>Vízkiszorítás súlypontmagassága KB, m</t>
  </si>
  <si>
    <t>blablablabla</t>
  </si>
  <si>
    <t>… hajó stabilitásszámítása kis dőlésszögekre</t>
  </si>
  <si>
    <t>hossz: x félszél.: y mag.: z</t>
  </si>
  <si>
    <t>far</t>
  </si>
  <si>
    <t>orr</t>
  </si>
  <si>
    <t>tőke</t>
  </si>
  <si>
    <t>x/y</t>
  </si>
  <si>
    <t>WL0/bázis</t>
  </si>
  <si>
    <t>fenn</t>
  </si>
  <si>
    <t>lenn</t>
  </si>
  <si>
    <t>1,125z</t>
  </si>
  <si>
    <t>1,25z</t>
  </si>
  <si>
    <t>1,375z</t>
  </si>
  <si>
    <t>1,5z</t>
  </si>
  <si>
    <t>0,875z</t>
  </si>
  <si>
    <t>0,75z</t>
  </si>
  <si>
    <t>0,625z</t>
  </si>
  <si>
    <t>0,375z</t>
  </si>
  <si>
    <t>0,25z</t>
  </si>
  <si>
    <t>gerinc</t>
  </si>
  <si>
    <t>Üres hajó</t>
  </si>
  <si>
    <t>1. terhelési mód</t>
  </si>
  <si>
    <t>2. terhelési mód</t>
  </si>
  <si>
    <t>3. terhelési mód</t>
  </si>
  <si>
    <t>4. terhelési mód</t>
  </si>
  <si>
    <t>5. terhelési mód</t>
  </si>
  <si>
    <t>Terület</t>
  </si>
  <si>
    <t>Súlypont helye</t>
  </si>
  <si>
    <t>Nyomaték</t>
  </si>
  <si>
    <t>m</t>
  </si>
  <si>
    <t>Inercia</t>
  </si>
  <si>
    <t>Teltség</t>
  </si>
  <si>
    <t xml:space="preserve">trim = </t>
  </si>
  <si>
    <r>
      <t>A</t>
    </r>
    <r>
      <rPr>
        <vertAlign val="subscript"/>
        <sz val="9"/>
        <rFont val="Arial"/>
        <family val="0"/>
      </rPr>
      <t>0CWL</t>
    </r>
    <r>
      <rPr>
        <sz val="9"/>
        <rFont val="Arial"/>
        <family val="0"/>
      </rPr>
      <t xml:space="preserve">= </t>
    </r>
  </si>
  <si>
    <r>
      <t>m</t>
    </r>
    <r>
      <rPr>
        <vertAlign val="superscript"/>
        <sz val="9"/>
        <rFont val="Arial"/>
        <family val="0"/>
      </rPr>
      <t>2</t>
    </r>
  </si>
  <si>
    <r>
      <t>A</t>
    </r>
    <r>
      <rPr>
        <vertAlign val="subscript"/>
        <sz val="9"/>
        <rFont val="Arial"/>
        <family val="0"/>
      </rPr>
      <t>CWLh</t>
    </r>
    <r>
      <rPr>
        <sz val="9"/>
        <rFont val="Arial"/>
        <family val="0"/>
      </rPr>
      <t xml:space="preserve">= </t>
    </r>
  </si>
  <si>
    <r>
      <t>A</t>
    </r>
    <r>
      <rPr>
        <vertAlign val="subscript"/>
        <sz val="9"/>
        <rFont val="Arial"/>
        <family val="0"/>
      </rPr>
      <t>CWLe</t>
    </r>
    <r>
      <rPr>
        <sz val="9"/>
        <rFont val="Arial"/>
        <family val="0"/>
      </rPr>
      <t xml:space="preserve">= </t>
    </r>
  </si>
  <si>
    <r>
      <t>A</t>
    </r>
    <r>
      <rPr>
        <vertAlign val="subscript"/>
        <sz val="9"/>
        <rFont val="Arial"/>
        <family val="0"/>
      </rPr>
      <t>CWL</t>
    </r>
    <r>
      <rPr>
        <sz val="9"/>
        <rFont val="Arial"/>
        <family val="0"/>
      </rPr>
      <t xml:space="preserve">= </t>
    </r>
  </si>
  <si>
    <r>
      <t>MC</t>
    </r>
    <r>
      <rPr>
        <vertAlign val="subscript"/>
        <sz val="9"/>
        <rFont val="Arial"/>
        <family val="0"/>
      </rPr>
      <t>WL</t>
    </r>
    <r>
      <rPr>
        <sz val="9"/>
        <rFont val="Arial"/>
        <family val="0"/>
      </rPr>
      <t xml:space="preserve">= </t>
    </r>
  </si>
  <si>
    <r>
      <t>m</t>
    </r>
    <r>
      <rPr>
        <vertAlign val="superscript"/>
        <sz val="9"/>
        <rFont val="Arial"/>
        <family val="0"/>
      </rPr>
      <t>3</t>
    </r>
  </si>
  <si>
    <r>
      <t>x</t>
    </r>
    <r>
      <rPr>
        <vertAlign val="subscript"/>
        <sz val="9"/>
        <rFont val="Arial"/>
        <family val="0"/>
      </rPr>
      <t>CWL</t>
    </r>
    <r>
      <rPr>
        <sz val="9"/>
        <rFont val="Arial"/>
        <family val="0"/>
      </rPr>
      <t>=</t>
    </r>
  </si>
  <si>
    <r>
      <t>I</t>
    </r>
    <r>
      <rPr>
        <vertAlign val="subscript"/>
        <sz val="9"/>
        <rFont val="Arial"/>
        <family val="0"/>
      </rPr>
      <t>TCWL</t>
    </r>
    <r>
      <rPr>
        <sz val="9"/>
        <rFont val="Arial"/>
        <family val="0"/>
      </rPr>
      <t xml:space="preserve"> =</t>
    </r>
  </si>
  <si>
    <r>
      <t>m</t>
    </r>
    <r>
      <rPr>
        <vertAlign val="superscript"/>
        <sz val="9"/>
        <rFont val="Arial"/>
        <family val="0"/>
      </rPr>
      <t>4</t>
    </r>
  </si>
  <si>
    <r>
      <t>C</t>
    </r>
    <r>
      <rPr>
        <vertAlign val="subscript"/>
        <sz val="9"/>
        <rFont val="Arial"/>
        <family val="0"/>
      </rPr>
      <t>CWL</t>
    </r>
    <r>
      <rPr>
        <sz val="9"/>
        <rFont val="Arial"/>
        <family val="0"/>
      </rPr>
      <t xml:space="preserve"> =</t>
    </r>
  </si>
  <si>
    <r>
      <t>I</t>
    </r>
    <r>
      <rPr>
        <vertAlign val="subscript"/>
        <sz val="9"/>
        <rFont val="Arial"/>
        <family val="0"/>
      </rPr>
      <t>LCWL</t>
    </r>
    <r>
      <rPr>
        <sz val="9"/>
        <rFont val="Arial"/>
        <family val="0"/>
      </rPr>
      <t xml:space="preserve"> =</t>
    </r>
  </si>
  <si>
    <t>Hajó úszásvonala 1.terhelésnél</t>
  </si>
  <si>
    <t>Hajó úszásvonala 2.terhelésnél</t>
  </si>
  <si>
    <t>Hajó úszásvonala 3.terhelésnél</t>
  </si>
  <si>
    <t>Hajó úszásvonala 4.terhelésnél</t>
  </si>
  <si>
    <t>Hajó úszásvonala 5.terhelésnél</t>
  </si>
  <si>
    <t>Üres hajó súlyszámítása</t>
  </si>
  <si>
    <t>Tétel</t>
  </si>
  <si>
    <t>Súlypont</t>
  </si>
  <si>
    <t>Tömeg</t>
  </si>
  <si>
    <t>kg</t>
  </si>
  <si>
    <t>z, m</t>
  </si>
  <si>
    <t>y, m</t>
  </si>
  <si>
    <t>x, m</t>
  </si>
  <si>
    <r>
      <t>M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, m</t>
    </r>
  </si>
  <si>
    <t>M</t>
  </si>
  <si>
    <r>
      <t>M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, m</t>
    </r>
  </si>
  <si>
    <r>
      <t>M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, m</t>
    </r>
  </si>
  <si>
    <t>1. Merevítőszerkezet</t>
  </si>
  <si>
    <t>2. Héj és fedélzet</t>
  </si>
  <si>
    <t>3. Árboc</t>
  </si>
  <si>
    <t>4. Ablakok és ajtó</t>
  </si>
  <si>
    <t>5. Padlók</t>
  </si>
  <si>
    <t>6. Pad</t>
  </si>
  <si>
    <t>7. Kormány</t>
  </si>
  <si>
    <t>8. Korlát</t>
  </si>
  <si>
    <t>Merevítőszerkezet</t>
  </si>
  <si>
    <t>9. Kötélcsörlő</t>
  </si>
  <si>
    <t>10. Horgonycsörlő</t>
  </si>
  <si>
    <t>11. Horgony és lánc</t>
  </si>
  <si>
    <t>12. Láncdoboz</t>
  </si>
  <si>
    <t>13. Bikák</t>
  </si>
  <si>
    <t>14. Állókötelek</t>
  </si>
  <si>
    <t>15. Futóköt.és csigák</t>
  </si>
  <si>
    <t>16. Fővitorla komplett</t>
  </si>
  <si>
    <t>17. Orrvitorla</t>
  </si>
  <si>
    <t>18. Bútorok</t>
  </si>
  <si>
    <t>Összesen</t>
  </si>
  <si>
    <t>Far</t>
  </si>
  <si>
    <t>0,5 borda</t>
  </si>
  <si>
    <t>1 borda</t>
  </si>
  <si>
    <t>1,5 borda</t>
  </si>
  <si>
    <t>2 borda</t>
  </si>
  <si>
    <t>2,5 borda</t>
  </si>
  <si>
    <t>3 borda</t>
  </si>
  <si>
    <t>3,5 borda</t>
  </si>
  <si>
    <t>4 borda</t>
  </si>
  <si>
    <t>4,5 borda</t>
  </si>
  <si>
    <t>5 borda</t>
  </si>
  <si>
    <t>5,5 borda</t>
  </si>
  <si>
    <t>6 borda</t>
  </si>
  <si>
    <t>6,5 borda</t>
  </si>
  <si>
    <t>7 borda</t>
  </si>
  <si>
    <t>7,5 borda</t>
  </si>
  <si>
    <t>8 borda</t>
  </si>
  <si>
    <t>8,5 borda</t>
  </si>
  <si>
    <t>9 borda</t>
  </si>
  <si>
    <t>9,5 borda</t>
  </si>
  <si>
    <t>10 borda</t>
  </si>
  <si>
    <t>Orrtőke</t>
  </si>
  <si>
    <t>Gerinc</t>
  </si>
  <si>
    <t>Fenékhosszmerevítők</t>
  </si>
  <si>
    <t>Oldalhosszmerevítők</t>
  </si>
  <si>
    <t>Fed.hosszmerevítők</t>
  </si>
  <si>
    <t>Kabin hosszelemek</t>
  </si>
  <si>
    <t>Héj és fedélzet</t>
  </si>
  <si>
    <t>Nedv.fel.CWL alatt</t>
  </si>
  <si>
    <t>Fedélzet héj</t>
  </si>
  <si>
    <t>Héj CWL-től fedélzetig</t>
  </si>
  <si>
    <t>Kabin oldal</t>
  </si>
  <si>
    <t>Kabin tető</t>
  </si>
  <si>
    <t>Padlók</t>
  </si>
  <si>
    <t>0 b. és 1,25 b. között</t>
  </si>
  <si>
    <t>1,25 b. és 2,5 b. között</t>
  </si>
  <si>
    <t>2,5 b. és 3,5 b. között</t>
  </si>
  <si>
    <t>3,5 b. és 9 b. között</t>
  </si>
  <si>
    <t>Futókötelek és csigák</t>
  </si>
  <si>
    <t>Boom visszatartó</t>
  </si>
  <si>
    <t>Boom emelő</t>
  </si>
  <si>
    <t>Fővitorla emelő</t>
  </si>
  <si>
    <t>Fővitorla feszítő</t>
  </si>
  <si>
    <t>Orrvitorla emelő</t>
  </si>
  <si>
    <t>Orrvitorla visszatartó</t>
  </si>
  <si>
    <t>Bútorok</t>
  </si>
  <si>
    <t>Hátsó ágyak felhajtva</t>
  </si>
  <si>
    <t>Mellső ágyak felhajtva</t>
  </si>
  <si>
    <t>Asztal</t>
  </si>
  <si>
    <t>Szekrények</t>
  </si>
  <si>
    <t>Nedvesített félív</t>
  </si>
  <si>
    <t>WL0</t>
  </si>
  <si>
    <t>far(tükör)</t>
  </si>
  <si>
    <t>ferdeség</t>
  </si>
  <si>
    <t xml:space="preserve"> fok</t>
  </si>
  <si>
    <t>A</t>
  </si>
  <si>
    <t>λ</t>
  </si>
  <si>
    <r>
      <t>x</t>
    </r>
    <r>
      <rPr>
        <vertAlign val="subscript"/>
        <sz val="8"/>
        <rFont val="Arial"/>
        <family val="0"/>
      </rPr>
      <t>fed</t>
    </r>
    <r>
      <rPr>
        <sz val="8"/>
        <rFont val="Arial"/>
        <family val="0"/>
      </rPr>
      <t>= m</t>
    </r>
  </si>
  <si>
    <r>
      <t>gerinc</t>
    </r>
    <r>
      <rPr>
        <vertAlign val="subscript"/>
        <sz val="10"/>
        <rFont val="Arial"/>
        <family val="2"/>
      </rPr>
      <t>f</t>
    </r>
  </si>
  <si>
    <r>
      <t>gerinc</t>
    </r>
    <r>
      <rPr>
        <vertAlign val="subscript"/>
        <sz val="10"/>
        <rFont val="Arial"/>
        <family val="2"/>
      </rPr>
      <t>a</t>
    </r>
  </si>
  <si>
    <r>
      <t>A</t>
    </r>
    <r>
      <rPr>
        <vertAlign val="subscript"/>
        <sz val="10"/>
        <rFont val="Arial"/>
        <family val="2"/>
      </rPr>
      <t>WSfar =</t>
    </r>
  </si>
  <si>
    <r>
      <t>m</t>
    </r>
    <r>
      <rPr>
        <vertAlign val="superscript"/>
        <sz val="10"/>
        <rFont val="Arial"/>
        <family val="2"/>
      </rPr>
      <t>2</t>
    </r>
  </si>
  <si>
    <r>
      <t>z</t>
    </r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</si>
  <si>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</si>
  <si>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</si>
  <si>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r>
      <t>m</t>
    </r>
    <r>
      <rPr>
        <vertAlign val="superscript"/>
        <sz val="10"/>
        <rFont val="Arial"/>
        <family val="2"/>
      </rPr>
      <t>3</t>
    </r>
  </si>
  <si>
    <r>
      <t>z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</si>
  <si>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0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</si>
  <si>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</si>
  <si>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</si>
  <si>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</si>
  <si>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1 =</t>
    </r>
  </si>
  <si>
    <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</si>
  <si>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</si>
  <si>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</si>
  <si>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2 =</t>
    </r>
  </si>
  <si>
    <r>
      <t>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</si>
  <si>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</si>
  <si>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</si>
  <si>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3 =</t>
    </r>
  </si>
  <si>
    <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</si>
  <si>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</si>
  <si>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</si>
  <si>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4 =</t>
    </r>
  </si>
  <si>
    <r>
      <t>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</si>
  <si>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</si>
  <si>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</si>
  <si>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5 =</t>
    </r>
  </si>
  <si>
    <r>
      <t>A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</si>
  <si>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</si>
  <si>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</si>
  <si>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6 =</t>
    </r>
  </si>
  <si>
    <r>
      <t>A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</si>
  <si>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</si>
  <si>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</si>
  <si>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7 =</t>
    </r>
  </si>
  <si>
    <r>
      <t>A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</si>
  <si>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</si>
  <si>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</si>
  <si>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8 =</t>
    </r>
  </si>
  <si>
    <r>
      <t>A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</si>
  <si>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9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</si>
  <si>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9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</si>
  <si>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9 =</t>
    </r>
  </si>
  <si>
    <r>
      <t>A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</si>
  <si>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</si>
  <si>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=</t>
    </r>
  </si>
  <si>
    <r>
      <t>λ</t>
    </r>
    <r>
      <rPr>
        <vertAlign val="subscript"/>
        <sz val="10"/>
        <rFont val="Arial"/>
        <family val="2"/>
      </rPr>
      <t>10 =</t>
    </r>
  </si>
  <si>
    <t>0. borda</t>
  </si>
  <si>
    <t>1. borda</t>
  </si>
  <si>
    <t>2. borda</t>
  </si>
  <si>
    <t>3. borda</t>
  </si>
  <si>
    <t>4. borda</t>
  </si>
  <si>
    <t>5. borda</t>
  </si>
  <si>
    <t>6. borda</t>
  </si>
  <si>
    <t>7. borda</t>
  </si>
  <si>
    <t>8. borda</t>
  </si>
  <si>
    <t>9. borda</t>
  </si>
  <si>
    <t>10. borda</t>
  </si>
  <si>
    <t>Bonjean görbék (0-10. bordáig)</t>
  </si>
  <si>
    <t>Vízkiszorítás térfogata</t>
  </si>
  <si>
    <t>Vízbemerült felület</t>
  </si>
  <si>
    <t>Súlypontmagasság</t>
  </si>
  <si>
    <t>Bordametszet helye</t>
  </si>
  <si>
    <t>Vízkiszorítássúlypontja</t>
  </si>
  <si>
    <t>m az alapvonal felett</t>
  </si>
  <si>
    <t>Térfogat nyomatéka</t>
  </si>
  <si>
    <t>A vízvonal inercianyomatéka</t>
  </si>
  <si>
    <t>Metacentrikus sugár</t>
  </si>
  <si>
    <t>Hosszirányú metacentrikus sugár</t>
  </si>
  <si>
    <t>Vízvonal felülete</t>
  </si>
  <si>
    <t>m a főbordától</t>
  </si>
  <si>
    <t>Rendszersúlypont magassága</t>
  </si>
  <si>
    <t>Kezdeti metacentrikus magasság</t>
  </si>
  <si>
    <t>KG =</t>
  </si>
  <si>
    <t>Rendszers.p. vízk.s.p. felett</t>
  </si>
  <si>
    <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</si>
  <si>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 xml:space="preserve">= </t>
    </r>
  </si>
  <si>
    <r>
      <t>M</t>
    </r>
    <r>
      <rPr>
        <vertAlign val="subscript"/>
        <sz val="10"/>
        <rFont val="Arial"/>
        <family val="2"/>
      </rPr>
      <t>z0</t>
    </r>
    <r>
      <rPr>
        <sz val="10"/>
        <rFont val="Arial"/>
        <family val="0"/>
      </rPr>
      <t xml:space="preserve"> =</t>
    </r>
  </si>
  <si>
    <r>
      <t>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az alapvonalra</t>
    </r>
  </si>
  <si>
    <r>
      <t>GB</t>
    </r>
    <r>
      <rPr>
        <vertAlign val="subscript"/>
        <sz val="10"/>
        <rFont val="Arial"/>
        <family val="2"/>
      </rPr>
      <t>0</t>
    </r>
  </si>
  <si>
    <r>
      <t>M</t>
    </r>
    <r>
      <rPr>
        <vertAlign val="subscript"/>
        <sz val="10"/>
        <rFont val="Arial"/>
        <family val="2"/>
      </rPr>
      <t>x0</t>
    </r>
    <r>
      <rPr>
        <sz val="10"/>
        <rFont val="Arial"/>
        <family val="0"/>
      </rPr>
      <t xml:space="preserve"> =</t>
    </r>
  </si>
  <si>
    <r>
      <t>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 főbordára</t>
    </r>
  </si>
  <si>
    <r>
      <t>GM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</si>
  <si>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KB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</si>
  <si>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</si>
  <si>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T0saját</t>
    </r>
    <r>
      <rPr>
        <sz val="10"/>
        <rFont val="Arial"/>
        <family val="0"/>
      </rPr>
      <t xml:space="preserve"> =</t>
    </r>
  </si>
  <si>
    <r>
      <t>m</t>
    </r>
    <r>
      <rPr>
        <vertAlign val="superscript"/>
        <sz val="10"/>
        <rFont val="Arial"/>
        <family val="2"/>
      </rPr>
      <t>4</t>
    </r>
  </si>
  <si>
    <r>
      <t>I</t>
    </r>
    <r>
      <rPr>
        <vertAlign val="subscript"/>
        <sz val="10"/>
        <rFont val="Arial"/>
        <family val="2"/>
      </rPr>
      <t>L0saját</t>
    </r>
    <r>
      <rPr>
        <sz val="10"/>
        <rFont val="Arial"/>
        <family val="0"/>
      </rPr>
      <t xml:space="preserve"> =</t>
    </r>
  </si>
  <si>
    <r>
      <t>BM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</si>
  <si>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BM</t>
    </r>
    <r>
      <rPr>
        <vertAlign val="subscript"/>
        <sz val="10"/>
        <rFont val="Arial"/>
        <family val="2"/>
      </rPr>
      <t>L0</t>
    </r>
    <r>
      <rPr>
        <sz val="10"/>
        <rFont val="Arial"/>
        <family val="0"/>
      </rPr>
      <t xml:space="preserve"> =</t>
    </r>
  </si>
  <si>
    <t>Rendszersúlypont a főbordától</t>
  </si>
  <si>
    <t>Trim nyomatéka</t>
  </si>
  <si>
    <t>tonna*m</t>
  </si>
  <si>
    <t>Trim (jellemző görbékből)</t>
  </si>
  <si>
    <t>Üres hajó stabilitási adatai kis dőlésszögeknél</t>
  </si>
  <si>
    <t>Üres hajó tömege, kg</t>
  </si>
  <si>
    <r>
      <t>x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</si>
  <si>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t0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</si>
  <si>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</si>
  <si>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Mestersori hosszm.</t>
  </si>
  <si>
    <t>Far CWL felett</t>
  </si>
  <si>
    <t>Cockpit</t>
  </si>
  <si>
    <t>Négy fős személyzettel utazó hajó súlyszámítása</t>
  </si>
  <si>
    <t>1. Üres hajó</t>
  </si>
  <si>
    <t>2. Személyzet</t>
  </si>
  <si>
    <t>4. Készletek</t>
  </si>
  <si>
    <t>3. Személyi holmi</t>
  </si>
  <si>
    <t>Két fős személyzettel és négy utassal utazó hajó súlyszámítása</t>
  </si>
  <si>
    <t>5. Utasok és holmi</t>
  </si>
  <si>
    <t>19. Fenéksúly középen</t>
  </si>
  <si>
    <t>20. Fenéksúly oldalt</t>
  </si>
  <si>
    <t>Fedélzet faburkolás</t>
  </si>
  <si>
    <r>
      <t>M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, mkg</t>
    </r>
  </si>
  <si>
    <r>
      <t>M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, mkg</t>
    </r>
  </si>
  <si>
    <r>
      <t>M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, mkg</t>
    </r>
  </si>
  <si>
    <t>Megjegyzés: a pirossal írt nevek és értékek helyett az érvényes szöveget kell beírni. Az eredménycellákban az értékek kiadódnak.</t>
  </si>
  <si>
    <t>Nedvesített felület (tükrös farnál)</t>
  </si>
  <si>
    <r>
      <t>gerinc</t>
    </r>
    <r>
      <rPr>
        <vertAlign val="subscript"/>
        <sz val="10"/>
        <rFont val="Arial"/>
        <family val="2"/>
      </rPr>
      <t>felül</t>
    </r>
  </si>
  <si>
    <r>
      <t>gerinc</t>
    </r>
    <r>
      <rPr>
        <vertAlign val="subscript"/>
        <sz val="10"/>
        <rFont val="Arial"/>
        <family val="2"/>
      </rPr>
      <t>alul</t>
    </r>
  </si>
  <si>
    <r>
      <t>cos22,5</t>
    </r>
    <r>
      <rPr>
        <vertAlign val="superscript"/>
        <sz val="9"/>
        <color indexed="10"/>
        <rFont val="Arial"/>
        <family val="0"/>
      </rPr>
      <t>o</t>
    </r>
    <r>
      <rPr>
        <sz val="9"/>
        <color indexed="10"/>
        <rFont val="Arial"/>
        <family val="0"/>
      </rPr>
      <t>=</t>
    </r>
  </si>
  <si>
    <r>
      <t xml:space="preserve">x= </t>
    </r>
    <r>
      <rPr>
        <sz val="8"/>
        <color indexed="10"/>
        <rFont val="Arial"/>
        <family val="2"/>
      </rPr>
      <t>-3,500</t>
    </r>
    <r>
      <rPr>
        <sz val="8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</si>
  <si>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-2,8</t>
    </r>
    <r>
      <rPr>
        <sz val="9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</si>
  <si>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-2,1</t>
    </r>
    <r>
      <rPr>
        <sz val="9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</si>
  <si>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-1,4</t>
    </r>
    <r>
      <rPr>
        <sz val="9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</si>
  <si>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-0,7</t>
    </r>
    <r>
      <rPr>
        <sz val="9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</si>
  <si>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0</t>
    </r>
    <r>
      <rPr>
        <sz val="9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</si>
  <si>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0,7</t>
    </r>
    <r>
      <rPr>
        <sz val="9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</si>
  <si>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1,4</t>
    </r>
    <r>
      <rPr>
        <sz val="9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</si>
  <si>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2,1</t>
    </r>
    <r>
      <rPr>
        <sz val="9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</si>
  <si>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2,8</t>
    </r>
    <r>
      <rPr>
        <sz val="9"/>
        <rFont val="Arial"/>
        <family val="0"/>
      </rPr>
      <t xml:space="preserve"> m</t>
    </r>
  </si>
  <si>
    <r>
      <t xml:space="preserve">x= </t>
    </r>
    <r>
      <rPr>
        <sz val="9"/>
        <color indexed="10"/>
        <rFont val="Arial"/>
        <family val="2"/>
      </rPr>
      <t>3,5</t>
    </r>
    <r>
      <rPr>
        <sz val="9"/>
        <rFont val="Arial"/>
        <family val="0"/>
      </rPr>
      <t xml:space="preserve"> m</t>
    </r>
  </si>
  <si>
    <t>Megjegyzés: a pirossal írt nevek és értékek helyett az érvényes szöveget kell beírni.</t>
  </si>
  <si>
    <t xml:space="preserve"> Az eredménycellákban az értékek kiadódnak.</t>
  </si>
  <si>
    <t>Megjegyzés: a pirossal írt nevek és értékek helyett az érvényes szöveget kell beírni.  Az eredménycellákban az értékek kiadódnak.</t>
  </si>
  <si>
    <r>
      <t xml:space="preserve">trim = </t>
    </r>
    <r>
      <rPr>
        <sz val="7"/>
        <color indexed="10"/>
        <rFont val="Arial"/>
        <family val="2"/>
      </rPr>
      <t>3,54</t>
    </r>
    <r>
      <rPr>
        <sz val="7"/>
        <rFont val="Arial"/>
        <family val="0"/>
      </rPr>
      <t>cm</t>
    </r>
  </si>
  <si>
    <r>
      <t xml:space="preserve">trim = </t>
    </r>
    <r>
      <rPr>
        <sz val="7"/>
        <color indexed="10"/>
        <rFont val="Arial"/>
        <family val="2"/>
      </rPr>
      <t>1,29</t>
    </r>
    <r>
      <rPr>
        <sz val="7"/>
        <rFont val="Arial"/>
        <family val="0"/>
      </rPr>
      <t>cm</t>
    </r>
  </si>
  <si>
    <r>
      <t xml:space="preserve">trim = </t>
    </r>
    <r>
      <rPr>
        <sz val="7"/>
        <color indexed="10"/>
        <rFont val="Arial"/>
        <family val="2"/>
      </rPr>
      <t>0,4</t>
    </r>
    <r>
      <rPr>
        <sz val="7"/>
        <rFont val="Arial"/>
        <family val="0"/>
      </rPr>
      <t xml:space="preserve"> cm</t>
    </r>
  </si>
  <si>
    <r>
      <t>Üres hajó úszásvonala</t>
    </r>
    <r>
      <rPr>
        <sz val="9"/>
        <rFont val="Arial"/>
        <family val="2"/>
      </rPr>
      <t xml:space="preserve"> (ld. Megjegyzés a lap alján)</t>
    </r>
  </si>
  <si>
    <t>1.terhelésű hajó stabilitási adatai kis dőlésszögeknél</t>
  </si>
  <si>
    <t>1.terh. hajó tömege, kg</t>
  </si>
  <si>
    <t>2.terhelésű hajó stabilitási adatai kis dőlésszögeknél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</si>
</sst>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0.0000"/>
    <numFmt numFmtId="167" formatCode="#,##0.0000\ _F_t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000000"/>
    <numFmt numFmtId="172" formatCode="0.000000"/>
  </numFmts>
  <fonts count="3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24"/>
      <name val="Arial"/>
      <family val="0"/>
    </font>
    <font>
      <sz val="16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5.5"/>
      <name val="Arial"/>
      <family val="2"/>
    </font>
    <font>
      <vertAlign val="subscript"/>
      <sz val="9"/>
      <name val="Arial"/>
      <family val="0"/>
    </font>
    <font>
      <vertAlign val="superscript"/>
      <sz val="9"/>
      <name val="Arial"/>
      <family val="0"/>
    </font>
    <font>
      <vertAlign val="subscript"/>
      <sz val="10"/>
      <name val="Arial"/>
      <family val="2"/>
    </font>
    <font>
      <b/>
      <i/>
      <sz val="10"/>
      <name val="Arial"/>
      <family val="2"/>
    </font>
    <font>
      <sz val="5"/>
      <name val="Arial"/>
      <family val="2"/>
    </font>
    <font>
      <sz val="4.75"/>
      <name val="Arial"/>
      <family val="2"/>
    </font>
    <font>
      <sz val="4"/>
      <name val="Arial"/>
      <family val="2"/>
    </font>
    <font>
      <sz val="3.25"/>
      <name val="Arial"/>
      <family val="2"/>
    </font>
    <font>
      <sz val="5.75"/>
      <name val="Arial"/>
      <family val="2"/>
    </font>
    <font>
      <vertAlign val="subscript"/>
      <sz val="8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sz val="2"/>
      <name val="Arial"/>
      <family val="2"/>
    </font>
    <font>
      <sz val="2.25"/>
      <name val="Arial"/>
      <family val="2"/>
    </font>
    <font>
      <sz val="10"/>
      <color indexed="10"/>
      <name val="Arial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vertAlign val="superscript"/>
      <sz val="9"/>
      <color indexed="10"/>
      <name val="Arial"/>
      <family val="0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0" fillId="0" borderId="0" xfId="0" applyNumberFormat="1" applyAlignment="1">
      <alignment horizontal="centerContinuous" vertical="center"/>
    </xf>
    <xf numFmtId="166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Continuous" vertical="center" wrapText="1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1" fillId="0" borderId="0" xfId="0" applyNumberFormat="1" applyFont="1" applyAlignment="1">
      <alignment horizontal="centerContinuous" vertical="center"/>
    </xf>
    <xf numFmtId="164" fontId="5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166" fontId="5" fillId="0" borderId="2" xfId="0" applyNumberFormat="1" applyFont="1" applyBorder="1" applyAlignment="1">
      <alignment horizontal="centerContinuous" vertical="center"/>
    </xf>
    <xf numFmtId="166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 quotePrefix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Continuous" wrapText="1"/>
    </xf>
    <xf numFmtId="166" fontId="0" fillId="0" borderId="0" xfId="0" applyNumberFormat="1" applyAlignment="1">
      <alignment horizontal="centerContinuous"/>
    </xf>
    <xf numFmtId="0" fontId="0" fillId="0" borderId="8" xfId="0" applyFont="1" applyBorder="1" applyAlignment="1">
      <alignment/>
    </xf>
    <xf numFmtId="166" fontId="3" fillId="0" borderId="9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6" fontId="0" fillId="0" borderId="9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Continuous"/>
    </xf>
    <xf numFmtId="0" fontId="9" fillId="0" borderId="8" xfId="0" applyFont="1" applyBorder="1" applyAlignment="1">
      <alignment/>
    </xf>
    <xf numFmtId="166" fontId="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textRotation="90"/>
    </xf>
    <xf numFmtId="0" fontId="5" fillId="0" borderId="8" xfId="0" applyFont="1" applyBorder="1" applyAlignment="1">
      <alignment textRotation="90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6" fontId="29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29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/>
    </xf>
    <xf numFmtId="164" fontId="26" fillId="0" borderId="0" xfId="0" applyNumberFormat="1" applyFont="1" applyAlignment="1">
      <alignment horizontal="center" vertical="center"/>
    </xf>
    <xf numFmtId="0" fontId="30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" fontId="26" fillId="0" borderId="3" xfId="0" applyNumberFormat="1" applyFont="1" applyBorder="1" applyAlignment="1">
      <alignment/>
    </xf>
    <xf numFmtId="164" fontId="26" fillId="0" borderId="1" xfId="0" applyNumberFormat="1" applyFont="1" applyBorder="1" applyAlignment="1">
      <alignment horizontal="right"/>
    </xf>
    <xf numFmtId="164" fontId="26" fillId="0" borderId="1" xfId="0" applyNumberFormat="1" applyFont="1" applyBorder="1" applyAlignment="1">
      <alignment/>
    </xf>
    <xf numFmtId="166" fontId="26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bordák!$A$3:$A$17</c:f>
              <c:strCache/>
            </c:strRef>
          </c:cat>
          <c:val>
            <c:numRef>
              <c:f>bordák!$C$3:$C$17</c:f>
              <c:numCache/>
            </c:numRef>
          </c:val>
          <c:smooth val="0"/>
        </c:ser>
        <c:marker val="1"/>
        <c:axId val="14643310"/>
        <c:axId val="64680927"/>
      </c:lineChart>
      <c:catAx>
        <c:axId val="14643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80927"/>
        <c:crosses val="autoZero"/>
        <c:auto val="1"/>
        <c:lblOffset val="100"/>
        <c:noMultiLvlLbl val="0"/>
      </c:catAx>
      <c:valAx>
        <c:axId val="6468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4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bordák!$C$215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bordák!$A$216:$A$230</c:f>
              <c:strCache/>
            </c:strRef>
          </c:cat>
          <c:val>
            <c:numRef>
              <c:f>bordák!$C$216:$C$230</c:f>
              <c:numCache/>
            </c:numRef>
          </c:val>
          <c:smooth val="0"/>
        </c:ser>
        <c:marker val="1"/>
        <c:axId val="18880168"/>
        <c:axId val="35703785"/>
      </c:lineChart>
      <c:catAx>
        <c:axId val="18880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703785"/>
        <c:crosses val="autoZero"/>
        <c:auto val="1"/>
        <c:lblOffset val="100"/>
        <c:noMultiLvlLbl val="0"/>
      </c:catAx>
      <c:valAx>
        <c:axId val="35703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8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bordák!$C$242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bordák!$A$243:$A$257</c:f>
              <c:strCache/>
            </c:strRef>
          </c:cat>
          <c:val>
            <c:numRef>
              <c:f>bordák!$C$243:$C$257</c:f>
              <c:numCache/>
            </c:numRef>
          </c:val>
          <c:smooth val="0"/>
        </c:ser>
        <c:marker val="1"/>
        <c:axId val="52898610"/>
        <c:axId val="6325443"/>
      </c:lineChart>
      <c:catAx>
        <c:axId val="52898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5443"/>
        <c:crosses val="autoZero"/>
        <c:auto val="1"/>
        <c:lblOffset val="100"/>
        <c:noMultiLvlLbl val="0"/>
      </c:catAx>
      <c:valAx>
        <c:axId val="632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9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bordák!$C$268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bordák!$A$269:$A$283</c:f>
              <c:strCache/>
            </c:strRef>
          </c:cat>
          <c:val>
            <c:numRef>
              <c:f>bordák!$C$269:$C$283</c:f>
              <c:numCache/>
            </c:numRef>
          </c:val>
          <c:smooth val="0"/>
        </c:ser>
        <c:marker val="1"/>
        <c:axId val="56928988"/>
        <c:axId val="42598845"/>
      </c:lineChart>
      <c:catAx>
        <c:axId val="56928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598845"/>
        <c:crosses val="autoZero"/>
        <c:auto val="1"/>
        <c:lblOffset val="100"/>
        <c:noMultiLvlLbl val="0"/>
      </c:catAx>
      <c:valAx>
        <c:axId val="42598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28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bordák!$C$295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bordák!$A$296:$A$311</c:f>
              <c:strCache/>
            </c:strRef>
          </c:cat>
          <c:val>
            <c:numRef>
              <c:f>bordák!$C$296:$C$311</c:f>
              <c:numCache/>
            </c:numRef>
          </c:val>
          <c:smooth val="0"/>
        </c:ser>
        <c:marker val="1"/>
        <c:axId val="47845286"/>
        <c:axId val="27954391"/>
      </c:lineChart>
      <c:catAx>
        <c:axId val="478452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954391"/>
        <c:crosses val="autoZero"/>
        <c:auto val="1"/>
        <c:lblOffset val="100"/>
        <c:noMultiLvlLbl val="0"/>
      </c:catAx>
      <c:valAx>
        <c:axId val="2795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45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bordák!$A$322:$I$322</c:f>
              <c:numCache/>
            </c:numRef>
          </c:val>
          <c:smooth val="0"/>
        </c:ser>
        <c:axId val="50262928"/>
        <c:axId val="49713169"/>
      </c:lineChart>
      <c:catAx>
        <c:axId val="50262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13169"/>
        <c:crosses val="autoZero"/>
        <c:auto val="1"/>
        <c:lblOffset val="100"/>
        <c:noMultiLvlLbl val="0"/>
      </c:catAx>
      <c:valAx>
        <c:axId val="49713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62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bordák!$A$323:$I$323</c:f>
              <c:numCache/>
            </c:numRef>
          </c:val>
          <c:smooth val="0"/>
        </c:ser>
        <c:axId val="44765338"/>
        <c:axId val="234859"/>
      </c:lineChart>
      <c:catAx>
        <c:axId val="44765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859"/>
        <c:crosses val="autoZero"/>
        <c:auto val="1"/>
        <c:lblOffset val="100"/>
        <c:noMultiLvlLbl val="0"/>
      </c:catAx>
      <c:valAx>
        <c:axId val="234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65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bordák!$A$324:$I$324</c:f>
              <c:numCache/>
            </c:numRef>
          </c:val>
          <c:smooth val="0"/>
        </c:ser>
        <c:axId val="2113732"/>
        <c:axId val="19023589"/>
      </c:lineChart>
      <c:catAx>
        <c:axId val="21137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3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bordák!$A$325:$I$325</c:f>
              <c:numCache/>
            </c:numRef>
          </c:val>
          <c:smooth val="0"/>
        </c:ser>
        <c:axId val="36994574"/>
        <c:axId val="64515711"/>
      </c:lineChart>
      <c:catAx>
        <c:axId val="36994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15711"/>
        <c:crosses val="autoZero"/>
        <c:auto val="1"/>
        <c:lblOffset val="100"/>
        <c:noMultiLvlLbl val="0"/>
      </c:catAx>
      <c:valAx>
        <c:axId val="64515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94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bordák!$A$326:$I$326</c:f>
              <c:numCache/>
            </c:numRef>
          </c:val>
          <c:smooth val="0"/>
        </c:ser>
        <c:axId val="43770488"/>
        <c:axId val="58390073"/>
      </c:lineChart>
      <c:catAx>
        <c:axId val="437704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390073"/>
        <c:crosses val="autoZero"/>
        <c:auto val="1"/>
        <c:lblOffset val="100"/>
        <c:noMultiLvlLbl val="0"/>
      </c:catAx>
      <c:valAx>
        <c:axId val="58390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70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bordák!$A$327:$I$327</c:f>
              <c:numCache/>
            </c:numRef>
          </c:val>
          <c:smooth val="0"/>
        </c:ser>
        <c:axId val="55748610"/>
        <c:axId val="31975443"/>
      </c:lineChart>
      <c:catAx>
        <c:axId val="55748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bordák!$C$29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bordák!$A$30:$A$44</c:f>
              <c:strCache/>
            </c:strRef>
          </c:cat>
          <c:val>
            <c:numRef>
              <c:f>bordák!$C$30:$C$44</c:f>
              <c:numCache/>
            </c:numRef>
          </c:val>
          <c:smooth val="0"/>
        </c:ser>
        <c:marker val="1"/>
        <c:axId val="45257432"/>
        <c:axId val="4663705"/>
      </c:lineChart>
      <c:catAx>
        <c:axId val="45257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3705"/>
        <c:crosses val="autoZero"/>
        <c:auto val="1"/>
        <c:lblOffset val="100"/>
        <c:noMultiLvlLbl val="0"/>
      </c:catAx>
      <c:valAx>
        <c:axId val="4663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5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bordák!$A$328:$I$328</c:f>
              <c:numCache/>
            </c:numRef>
          </c:val>
          <c:smooth val="0"/>
        </c:ser>
        <c:axId val="19343532"/>
        <c:axId val="39874061"/>
      </c:lineChart>
      <c:catAx>
        <c:axId val="19343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4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bordák!$A$329:$I$329</c:f>
              <c:numCache/>
            </c:numRef>
          </c:val>
          <c:smooth val="0"/>
        </c:ser>
        <c:axId val="23322230"/>
        <c:axId val="8573479"/>
      </c:lineChart>
      <c:catAx>
        <c:axId val="23322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2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bordák!$A$330:$I$330</c:f>
              <c:numCache/>
            </c:numRef>
          </c:val>
          <c:smooth val="0"/>
        </c:ser>
        <c:axId val="10052448"/>
        <c:axId val="23363169"/>
      </c:lineChart>
      <c:catAx>
        <c:axId val="10052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363169"/>
        <c:crosses val="autoZero"/>
        <c:auto val="1"/>
        <c:lblOffset val="100"/>
        <c:noMultiLvlLbl val="0"/>
      </c:catAx>
      <c:valAx>
        <c:axId val="23363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52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bordák!$A$331:$I$331</c:f>
              <c:numCache/>
            </c:numRef>
          </c:val>
          <c:smooth val="0"/>
        </c:ser>
        <c:axId val="8941930"/>
        <c:axId val="13368507"/>
      </c:lineChart>
      <c:catAx>
        <c:axId val="89419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68507"/>
        <c:crosses val="autoZero"/>
        <c:auto val="1"/>
        <c:lblOffset val="100"/>
        <c:noMultiLvlLbl val="0"/>
      </c:catAx>
      <c:valAx>
        <c:axId val="1336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4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bordák!$A$321:$I$321</c:f>
              <c:strCache/>
            </c:strRef>
          </c:cat>
          <c:val>
            <c:numRef>
              <c:f>bordák!$A$332:$I$332</c:f>
              <c:numCache/>
            </c:numRef>
          </c:val>
          <c:smooth val="0"/>
        </c:ser>
        <c:axId val="53207700"/>
        <c:axId val="9107253"/>
      </c:lineChart>
      <c:catAx>
        <c:axId val="532077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07253"/>
        <c:crosses val="autoZero"/>
        <c:auto val="1"/>
        <c:lblOffset val="100"/>
        <c:noMultiLvlLbl val="0"/>
      </c:catAx>
      <c:valAx>
        <c:axId val="910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07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úszásvonalak!$A$5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úszásvonalak!$B$2:$O$2</c:f>
              <c:strCache/>
            </c:strRef>
          </c:cat>
          <c:val>
            <c:numRef>
              <c:f>úszásvonalak!$B$5:$O$5</c:f>
              <c:numCache/>
            </c:numRef>
          </c:val>
          <c:smooth val="0"/>
        </c:ser>
        <c:ser>
          <c:idx val="1"/>
          <c:order val="1"/>
          <c:tx>
            <c:strRef>
              <c:f>úszásvonalak!$A$3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úszásvonalak!$B$3:$O$3</c:f>
              <c:numCache/>
            </c:numRef>
          </c:val>
          <c:smooth val="0"/>
        </c:ser>
        <c:axId val="14856414"/>
        <c:axId val="66598863"/>
      </c:lineChart>
      <c:catAx>
        <c:axId val="14856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98863"/>
        <c:crosses val="autoZero"/>
        <c:auto val="1"/>
        <c:lblOffset val="100"/>
        <c:noMultiLvlLbl val="0"/>
      </c:catAx>
      <c:valAx>
        <c:axId val="6659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5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úszásvonalak!$A$23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úszásvonalak!$B$20:$O$20</c:f>
              <c:strCache/>
            </c:strRef>
          </c:cat>
          <c:val>
            <c:numRef>
              <c:f>úszásvonalak!$B$23:$O$23</c:f>
              <c:numCache/>
            </c:numRef>
          </c:val>
          <c:smooth val="0"/>
        </c:ser>
        <c:ser>
          <c:idx val="1"/>
          <c:order val="1"/>
          <c:tx>
            <c:strRef>
              <c:f>úszásvonalak!$A$21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úszásvonalak!$B$21:$O$21</c:f>
              <c:numCache/>
            </c:numRef>
          </c:val>
          <c:smooth val="0"/>
        </c:ser>
        <c:axId val="62518856"/>
        <c:axId val="25798793"/>
      </c:lineChart>
      <c:catAx>
        <c:axId val="62518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98793"/>
        <c:crosses val="autoZero"/>
        <c:auto val="1"/>
        <c:lblOffset val="100"/>
        <c:noMultiLvlLbl val="0"/>
      </c:catAx>
      <c:valAx>
        <c:axId val="2579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8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úszásvonalak!$A$41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úszásvonalak!$B$38:$O$38</c:f>
              <c:strCache/>
            </c:strRef>
          </c:cat>
          <c:val>
            <c:numRef>
              <c:f>úszásvonalak!$B$41:$O$41</c:f>
              <c:numCache/>
            </c:numRef>
          </c:val>
          <c:smooth val="0"/>
        </c:ser>
        <c:ser>
          <c:idx val="1"/>
          <c:order val="1"/>
          <c:tx>
            <c:strRef>
              <c:f>úszásvonalak!$A$39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úszásvonalak!$B$39:$O$39</c:f>
              <c:numCache/>
            </c:numRef>
          </c:val>
          <c:smooth val="0"/>
        </c:ser>
        <c:axId val="30862546"/>
        <c:axId val="9327459"/>
      </c:lineChart>
      <c:catAx>
        <c:axId val="308625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327459"/>
        <c:crosses val="autoZero"/>
        <c:auto val="1"/>
        <c:lblOffset val="100"/>
        <c:noMultiLvlLbl val="0"/>
      </c:catAx>
      <c:valAx>
        <c:axId val="932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62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úszásvonalak!$A$59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úszásvonalak!$B$56:$O$56</c:f>
              <c:strCache/>
            </c:strRef>
          </c:cat>
          <c:val>
            <c:numRef>
              <c:f>úszásvonalak!$B$59:$O$59</c:f>
              <c:numCache/>
            </c:numRef>
          </c:val>
          <c:smooth val="0"/>
        </c:ser>
        <c:ser>
          <c:idx val="1"/>
          <c:order val="1"/>
          <c:tx>
            <c:strRef>
              <c:f>úszásvonalak!$A$57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úszásvonalak!$B$57:$O$57</c:f>
              <c:numCache/>
            </c:numRef>
          </c:val>
          <c:smooth val="0"/>
        </c:ser>
        <c:axId val="16838268"/>
        <c:axId val="17326685"/>
      </c:lineChart>
      <c:catAx>
        <c:axId val="168382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26685"/>
        <c:crosses val="autoZero"/>
        <c:auto val="1"/>
        <c:lblOffset val="100"/>
        <c:noMultiLvlLbl val="0"/>
      </c:catAx>
      <c:valAx>
        <c:axId val="1732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3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úszásvonalak!$A$77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úszásvonalak!$B$74:$O$74</c:f>
              <c:strCache/>
            </c:strRef>
          </c:cat>
          <c:val>
            <c:numRef>
              <c:f>úszásvonalak!$B$77:$O$77</c:f>
              <c:numCache/>
            </c:numRef>
          </c:val>
          <c:smooth val="0"/>
        </c:ser>
        <c:ser>
          <c:idx val="1"/>
          <c:order val="1"/>
          <c:tx>
            <c:strRef>
              <c:f>úszásvonalak!$A$75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úszásvonalak!$B$75:$O$75</c:f>
              <c:numCache/>
            </c:numRef>
          </c:val>
          <c:smooth val="0"/>
        </c:ser>
        <c:axId val="21722438"/>
        <c:axId val="61284215"/>
      </c:lineChart>
      <c:catAx>
        <c:axId val="21722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84215"/>
        <c:crosses val="autoZero"/>
        <c:auto val="1"/>
        <c:lblOffset val="100"/>
        <c:noMultiLvlLbl val="0"/>
      </c:catAx>
      <c:valAx>
        <c:axId val="61284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22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bordák!$C$56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bordák!$A$57:$A$71</c:f>
              <c:strCache/>
            </c:strRef>
          </c:cat>
          <c:val>
            <c:numRef>
              <c:f>bordák!$C$57:$C$71</c:f>
              <c:numCache/>
            </c:numRef>
          </c:val>
          <c:smooth val="0"/>
        </c:ser>
        <c:marker val="1"/>
        <c:axId val="41973346"/>
        <c:axId val="42215795"/>
      </c:lineChart>
      <c:catAx>
        <c:axId val="41973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215795"/>
        <c:crosses val="autoZero"/>
        <c:auto val="1"/>
        <c:lblOffset val="100"/>
        <c:noMultiLvlLbl val="0"/>
      </c:catAx>
      <c:valAx>
        <c:axId val="4221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3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úszásvonalak!$A$95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úszásvonalak!$B$92:$O$92</c:f>
              <c:strCache/>
            </c:strRef>
          </c:cat>
          <c:val>
            <c:numRef>
              <c:f>úszásvonalak!$B$95:$O$95</c:f>
              <c:numCache/>
            </c:numRef>
          </c:val>
          <c:smooth val="0"/>
        </c:ser>
        <c:ser>
          <c:idx val="1"/>
          <c:order val="1"/>
          <c:tx>
            <c:strRef>
              <c:f>úszásvonalak!$A$93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úszásvonalak!$B$93:$O$93</c:f>
              <c:numCache/>
            </c:numRef>
          </c:val>
          <c:smooth val="0"/>
        </c:ser>
        <c:axId val="14687024"/>
        <c:axId val="65074353"/>
      </c:lineChart>
      <c:catAx>
        <c:axId val="146870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74353"/>
        <c:crosses val="autoZero"/>
        <c:auto val="1"/>
        <c:lblOffset val="100"/>
        <c:noMultiLvlLbl val="0"/>
      </c:catAx>
      <c:valAx>
        <c:axId val="6507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87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8798266"/>
        <c:axId val="36531211"/>
      </c:lineChart>
      <c:catAx>
        <c:axId val="487982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531211"/>
        <c:crosses val="autoZero"/>
        <c:auto val="1"/>
        <c:lblOffset val="100"/>
        <c:noMultiLvlLbl val="0"/>
      </c:catAx>
      <c:valAx>
        <c:axId val="3653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9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60345444"/>
        <c:axId val="6238085"/>
      </c:lineChart>
      <c:catAx>
        <c:axId val="60345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8085"/>
        <c:crosses val="autoZero"/>
        <c:auto val="1"/>
        <c:lblOffset val="100"/>
        <c:noMultiLvlLbl val="0"/>
      </c:catAx>
      <c:valAx>
        <c:axId val="6238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4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56142766"/>
        <c:axId val="35522847"/>
      </c:lineChart>
      <c:catAx>
        <c:axId val="561427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522847"/>
        <c:crosses val="autoZero"/>
        <c:auto val="1"/>
        <c:lblOffset val="100"/>
        <c:noMultiLvlLbl val="0"/>
      </c:catAx>
      <c:valAx>
        <c:axId val="3552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42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51270168"/>
        <c:axId val="58778329"/>
      </c:lineChart>
      <c:catAx>
        <c:axId val="51270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778329"/>
        <c:crosses val="autoZero"/>
        <c:auto val="1"/>
        <c:lblOffset val="100"/>
        <c:noMultiLvlLbl val="0"/>
      </c:catAx>
      <c:valAx>
        <c:axId val="58778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7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59242914"/>
        <c:axId val="63424179"/>
      </c:lineChart>
      <c:catAx>
        <c:axId val="592429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24179"/>
        <c:crosses val="autoZero"/>
        <c:auto val="1"/>
        <c:lblOffset val="100"/>
        <c:noMultiLvlLbl val="0"/>
      </c:catAx>
      <c:valAx>
        <c:axId val="6342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4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33946700"/>
        <c:axId val="37084845"/>
      </c:lineChart>
      <c:catAx>
        <c:axId val="339467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84845"/>
        <c:crosses val="autoZero"/>
        <c:auto val="1"/>
        <c:lblOffset val="100"/>
        <c:noMultiLvlLbl val="0"/>
      </c:catAx>
      <c:valAx>
        <c:axId val="37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65328150"/>
        <c:axId val="51082439"/>
      </c:lineChart>
      <c:catAx>
        <c:axId val="653281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082439"/>
        <c:crosses val="autoZero"/>
        <c:auto val="1"/>
        <c:lblOffset val="100"/>
        <c:noMultiLvlLbl val="0"/>
      </c:catAx>
      <c:valAx>
        <c:axId val="51082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2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57088768"/>
        <c:axId val="44036865"/>
      </c:lineChart>
      <c:catAx>
        <c:axId val="57088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36865"/>
        <c:crosses val="autoZero"/>
        <c:auto val="1"/>
        <c:lblOffset val="100"/>
        <c:noMultiLvlLbl val="0"/>
      </c:catAx>
      <c:valAx>
        <c:axId val="44036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88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60787466"/>
        <c:axId val="10216283"/>
      </c:lineChart>
      <c:catAx>
        <c:axId val="60787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216283"/>
        <c:crosses val="autoZero"/>
        <c:auto val="1"/>
        <c:lblOffset val="100"/>
        <c:noMultiLvlLbl val="0"/>
      </c:catAx>
      <c:valAx>
        <c:axId val="1021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87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bordák!$C$136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bordák!$A$137:$A$151</c:f>
              <c:strCache/>
            </c:strRef>
          </c:cat>
          <c:val>
            <c:numRef>
              <c:f>bordák!$C$137:$C$151</c:f>
              <c:numCache/>
            </c:numRef>
          </c:val>
          <c:smooth val="0"/>
        </c:ser>
        <c:marker val="1"/>
        <c:axId val="44397836"/>
        <c:axId val="64036205"/>
      </c:lineChart>
      <c:catAx>
        <c:axId val="443978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36205"/>
        <c:crosses val="autoZero"/>
        <c:auto val="1"/>
        <c:lblOffset val="100"/>
        <c:noMultiLvlLbl val="0"/>
      </c:catAx>
      <c:valAx>
        <c:axId val="64036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97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24837684"/>
        <c:axId val="22212565"/>
      </c:lineChart>
      <c:catAx>
        <c:axId val="24837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212565"/>
        <c:crosses val="autoZero"/>
        <c:auto val="1"/>
        <c:lblOffset val="100"/>
        <c:noMultiLvlLbl val="0"/>
      </c:catAx>
      <c:valAx>
        <c:axId val="222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37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65695358"/>
        <c:axId val="54387311"/>
      </c:lineChart>
      <c:catAx>
        <c:axId val="65695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387311"/>
        <c:crosses val="autoZero"/>
        <c:auto val="1"/>
        <c:lblOffset val="100"/>
        <c:noMultiLvlLbl val="0"/>
      </c:catAx>
      <c:valAx>
        <c:axId val="54387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95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19723752"/>
        <c:axId val="43296041"/>
      </c:lineChart>
      <c:catAx>
        <c:axId val="197237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96041"/>
        <c:crosses val="autoZero"/>
        <c:auto val="1"/>
        <c:lblOffset val="100"/>
        <c:noMultiLvlLbl val="0"/>
      </c:catAx>
      <c:valAx>
        <c:axId val="43296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3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54120050"/>
        <c:axId val="17318403"/>
      </c:lineChart>
      <c:catAx>
        <c:axId val="54120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18403"/>
        <c:crosses val="autoZero"/>
        <c:auto val="1"/>
        <c:lblOffset val="100"/>
        <c:noMultiLvlLbl val="0"/>
      </c:catAx>
      <c:valAx>
        <c:axId val="17318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0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-0.08051</c:v>
                </c:pt>
                <c:pt idx="1">
                  <c:v>-0.08097</c:v>
                </c:pt>
                <c:pt idx="2">
                  <c:v>-0.05872</c:v>
                </c:pt>
                <c:pt idx="3">
                  <c:v>-0.01644</c:v>
                </c:pt>
                <c:pt idx="4">
                  <c:v>0.04386</c:v>
                </c:pt>
                <c:pt idx="5">
                  <c:v>0.09861</c:v>
                </c:pt>
                <c:pt idx="6">
                  <c:v>0.14904</c:v>
                </c:pt>
                <c:pt idx="7">
                  <c:v>0.12275</c:v>
                </c:pt>
                <c:pt idx="8">
                  <c:v>-0.05789</c:v>
                </c:pt>
              </c:numCache>
            </c:numRef>
          </c:val>
          <c:smooth val="0"/>
        </c:ser>
        <c:axId val="21647900"/>
        <c:axId val="60613373"/>
      </c:lineChart>
      <c:catAx>
        <c:axId val="21647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13373"/>
        <c:crosses val="autoZero"/>
        <c:auto val="1"/>
        <c:lblOffset val="100"/>
        <c:noMultiLvlLbl val="0"/>
      </c:catAx>
      <c:valAx>
        <c:axId val="60613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47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8649446"/>
        <c:axId val="10736151"/>
      </c:lineChart>
      <c:catAx>
        <c:axId val="86494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736151"/>
        <c:crosses val="autoZero"/>
        <c:auto val="1"/>
        <c:lblOffset val="100"/>
        <c:noMultiLvlLbl val="0"/>
      </c:catAx>
      <c:valAx>
        <c:axId val="1073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49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29516496"/>
        <c:axId val="64321873"/>
      </c:lineChart>
      <c:catAx>
        <c:axId val="29516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321873"/>
        <c:crosses val="autoZero"/>
        <c:auto val="1"/>
        <c:lblOffset val="100"/>
        <c:noMultiLvlLbl val="0"/>
      </c:catAx>
      <c:valAx>
        <c:axId val="6432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1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42025946"/>
        <c:axId val="42689195"/>
      </c:lineChart>
      <c:catAx>
        <c:axId val="420259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89195"/>
        <c:crosses val="autoZero"/>
        <c:auto val="1"/>
        <c:lblOffset val="100"/>
        <c:noMultiLvlLbl val="0"/>
      </c:catAx>
      <c:valAx>
        <c:axId val="42689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25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48658436"/>
        <c:axId val="35272741"/>
      </c:lineChart>
      <c:catAx>
        <c:axId val="48658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72741"/>
        <c:crosses val="autoZero"/>
        <c:auto val="1"/>
        <c:lblOffset val="100"/>
        <c:noMultiLvlLbl val="0"/>
      </c:catAx>
      <c:valAx>
        <c:axId val="35272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49019214"/>
        <c:axId val="38519743"/>
      </c:lineChart>
      <c:catAx>
        <c:axId val="490192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19743"/>
        <c:crosses val="autoZero"/>
        <c:auto val="1"/>
        <c:lblOffset val="100"/>
        <c:noMultiLvlLbl val="0"/>
      </c:catAx>
      <c:valAx>
        <c:axId val="3851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19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'[2]bordák'!$A$313:$A$324</c:f>
              <c:strCache>
                <c:ptCount val="12"/>
                <c:pt idx="0">
                  <c:v>WL10</c:v>
                </c:pt>
                <c:pt idx="1">
                  <c:v>WL9</c:v>
                </c:pt>
                <c:pt idx="2">
                  <c:v>WL8</c:v>
                </c:pt>
                <c:pt idx="3">
                  <c:v>WL7</c:v>
                </c:pt>
                <c:pt idx="4">
                  <c:v>CWL</c:v>
                </c:pt>
                <c:pt idx="5">
                  <c:v>WL6</c:v>
                </c:pt>
                <c:pt idx="6">
                  <c:v>WL5</c:v>
                </c:pt>
                <c:pt idx="7">
                  <c:v>WL4</c:v>
                </c:pt>
                <c:pt idx="8">
                  <c:v>WL3</c:v>
                </c:pt>
                <c:pt idx="9">
                  <c:v>WL2</c:v>
                </c:pt>
                <c:pt idx="10">
                  <c:v>WL1</c:v>
                </c:pt>
                <c:pt idx="11">
                  <c:v>WL0</c:v>
                </c:pt>
              </c:strCache>
            </c:strRef>
          </c:cat>
          <c:val>
            <c:numRef>
              <c:f>'[2]bordák'!$C$313:$C$324</c:f>
              <c:numCache>
                <c:ptCount val="12"/>
                <c:pt idx="0">
                  <c:v>0.421</c:v>
                </c:pt>
                <c:pt idx="1">
                  <c:v>0.343</c:v>
                </c:pt>
                <c:pt idx="2">
                  <c:v>0.226</c:v>
                </c:pt>
                <c:pt idx="3">
                  <c:v>0.066</c:v>
                </c:pt>
                <c:pt idx="4">
                  <c:v>0.03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454934"/>
        <c:axId val="19550087"/>
      </c:lineChart>
      <c:catAx>
        <c:axId val="39454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50087"/>
        <c:crosses val="autoZero"/>
        <c:auto val="1"/>
        <c:lblOffset val="100"/>
        <c:noMultiLvlLbl val="0"/>
      </c:catAx>
      <c:valAx>
        <c:axId val="1955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54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11133368"/>
        <c:axId val="33091449"/>
      </c:lineChart>
      <c:catAx>
        <c:axId val="111333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091449"/>
        <c:crosses val="autoZero"/>
        <c:auto val="1"/>
        <c:lblOffset val="100"/>
        <c:noMultiLvlLbl val="0"/>
      </c:catAx>
      <c:valAx>
        <c:axId val="33091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33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29387586"/>
        <c:axId val="63161683"/>
      </c:lineChart>
      <c:catAx>
        <c:axId val="29387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61683"/>
        <c:crosses val="autoZero"/>
        <c:auto val="1"/>
        <c:lblOffset val="100"/>
        <c:noMultiLvlLbl val="0"/>
      </c:catAx>
      <c:valAx>
        <c:axId val="6316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7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31584236"/>
        <c:axId val="15822669"/>
      </c:lineChart>
      <c:catAx>
        <c:axId val="31584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22669"/>
        <c:crosses val="autoZero"/>
        <c:auto val="1"/>
        <c:lblOffset val="100"/>
        <c:noMultiLvlLbl val="0"/>
      </c:catAx>
      <c:valAx>
        <c:axId val="15822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8186294"/>
        <c:axId val="6567783"/>
      </c:lineChart>
      <c:catAx>
        <c:axId val="8186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67783"/>
        <c:crosses val="autoZero"/>
        <c:auto val="1"/>
        <c:lblOffset val="100"/>
        <c:noMultiLvlLbl val="0"/>
      </c:catAx>
      <c:valAx>
        <c:axId val="6567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86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59110048"/>
        <c:axId val="62228385"/>
      </c:lineChart>
      <c:catAx>
        <c:axId val="59110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228385"/>
        <c:crosses val="autoZero"/>
        <c:auto val="1"/>
        <c:lblOffset val="100"/>
        <c:noMultiLvlLbl val="0"/>
      </c:catAx>
      <c:valAx>
        <c:axId val="62228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10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23184554"/>
        <c:axId val="7334395"/>
      </c:lineChart>
      <c:catAx>
        <c:axId val="23184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334395"/>
        <c:crosses val="autoZero"/>
        <c:auto val="1"/>
        <c:lblOffset val="100"/>
        <c:noMultiLvlLbl val="0"/>
      </c:catAx>
      <c:valAx>
        <c:axId val="7334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84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66009556"/>
        <c:axId val="57215093"/>
      </c:lineChart>
      <c:catAx>
        <c:axId val="66009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15093"/>
        <c:crosses val="autoZero"/>
        <c:auto val="1"/>
        <c:lblOffset val="100"/>
        <c:noMultiLvlLbl val="0"/>
      </c:catAx>
      <c:valAx>
        <c:axId val="57215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9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5173790"/>
        <c:axId val="3910927"/>
      </c:lineChart>
      <c:catAx>
        <c:axId val="451737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10927"/>
        <c:crosses val="autoZero"/>
        <c:auto val="1"/>
        <c:lblOffset val="100"/>
        <c:noMultiLvlLbl val="0"/>
      </c:catAx>
      <c:valAx>
        <c:axId val="39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73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35198344"/>
        <c:axId val="48349641"/>
      </c:lineChart>
      <c:catAx>
        <c:axId val="351983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49641"/>
        <c:crosses val="autoZero"/>
        <c:auto val="1"/>
        <c:lblOffset val="100"/>
        <c:noMultiLvlLbl val="0"/>
      </c:catAx>
      <c:valAx>
        <c:axId val="48349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98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32493586"/>
        <c:axId val="24006819"/>
      </c:lineChart>
      <c:catAx>
        <c:axId val="32493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06819"/>
        <c:crosses val="autoZero"/>
        <c:auto val="1"/>
        <c:lblOffset val="100"/>
        <c:noMultiLvlLbl val="0"/>
      </c:catAx>
      <c:valAx>
        <c:axId val="24006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9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bordák!$C$83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bordák!$A$84:$A$98</c:f>
              <c:strCache/>
            </c:strRef>
          </c:cat>
          <c:val>
            <c:numRef>
              <c:f>bordák!$C$84:$C$98</c:f>
              <c:numCache/>
            </c:numRef>
          </c:val>
          <c:smooth val="0"/>
        </c:ser>
        <c:marker val="1"/>
        <c:axId val="41733056"/>
        <c:axId val="40053185"/>
      </c:lineChart>
      <c:catAx>
        <c:axId val="41733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53185"/>
        <c:crosses val="autoZero"/>
        <c:auto val="1"/>
        <c:lblOffset val="100"/>
        <c:noMultiLvlLbl val="0"/>
      </c:catAx>
      <c:valAx>
        <c:axId val="40053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3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14734780"/>
        <c:axId val="65504157"/>
      </c:lineChart>
      <c:catAx>
        <c:axId val="14734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04157"/>
        <c:crosses val="autoZero"/>
        <c:auto val="1"/>
        <c:lblOffset val="100"/>
        <c:noMultiLvlLbl val="0"/>
      </c:catAx>
      <c:valAx>
        <c:axId val="6550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34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52666502"/>
        <c:axId val="4236471"/>
      </c:lineChart>
      <c:catAx>
        <c:axId val="526665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36471"/>
        <c:crosses val="autoZero"/>
        <c:auto val="1"/>
        <c:lblOffset val="100"/>
        <c:noMultiLvlLbl val="0"/>
      </c:catAx>
      <c:valAx>
        <c:axId val="423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66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38128240"/>
        <c:axId val="7609841"/>
      </c:lineChart>
      <c:catAx>
        <c:axId val="381282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609841"/>
        <c:crosses val="autoZero"/>
        <c:auto val="1"/>
        <c:lblOffset val="100"/>
        <c:noMultiLvlLbl val="0"/>
      </c:catAx>
      <c:valAx>
        <c:axId val="76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28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1379706"/>
        <c:axId val="12417355"/>
      </c:lineChart>
      <c:catAx>
        <c:axId val="13797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417355"/>
        <c:crosses val="autoZero"/>
        <c:auto val="1"/>
        <c:lblOffset val="100"/>
        <c:noMultiLvlLbl val="0"/>
      </c:catAx>
      <c:valAx>
        <c:axId val="1241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9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44647332"/>
        <c:axId val="66281669"/>
      </c:lineChart>
      <c:catAx>
        <c:axId val="44647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281669"/>
        <c:crosses val="autoZero"/>
        <c:auto val="1"/>
        <c:lblOffset val="100"/>
        <c:noMultiLvlLbl val="0"/>
      </c:catAx>
      <c:valAx>
        <c:axId val="6628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7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59664110"/>
        <c:axId val="106079"/>
      </c:lineChart>
      <c:catAx>
        <c:axId val="596641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079"/>
        <c:crosses val="autoZero"/>
        <c:auto val="1"/>
        <c:lblOffset val="100"/>
        <c:noMultiLvlLbl val="0"/>
      </c:catAx>
      <c:valAx>
        <c:axId val="10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64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954712"/>
        <c:axId val="8592409"/>
      </c:lineChart>
      <c:catAx>
        <c:axId val="954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92409"/>
        <c:crosses val="autoZero"/>
        <c:auto val="1"/>
        <c:lblOffset val="100"/>
        <c:noMultiLvlLbl val="0"/>
      </c:catAx>
      <c:valAx>
        <c:axId val="859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4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10222818"/>
        <c:axId val="24896499"/>
      </c:lineChart>
      <c:catAx>
        <c:axId val="10222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896499"/>
        <c:crosses val="autoZero"/>
        <c:auto val="1"/>
        <c:lblOffset val="100"/>
        <c:noMultiLvlLbl val="0"/>
      </c:catAx>
      <c:valAx>
        <c:axId val="24896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2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22741900"/>
        <c:axId val="3350509"/>
      </c:lineChart>
      <c:catAx>
        <c:axId val="22741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50509"/>
        <c:crosses val="autoZero"/>
        <c:auto val="1"/>
        <c:lblOffset val="100"/>
        <c:noMultiLvlLbl val="0"/>
      </c:catAx>
      <c:valAx>
        <c:axId val="3350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4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30154582"/>
        <c:axId val="2955783"/>
      </c:lineChart>
      <c:catAx>
        <c:axId val="301545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5783"/>
        <c:crosses val="autoZero"/>
        <c:auto val="1"/>
        <c:lblOffset val="100"/>
        <c:noMultiLvlLbl val="0"/>
      </c:catAx>
      <c:valAx>
        <c:axId val="2955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54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bordák!$C$109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bordák!$A$110:$A$124</c:f>
              <c:strCache/>
            </c:strRef>
          </c:cat>
          <c:val>
            <c:numRef>
              <c:f>bordák!$C$110:$C$124</c:f>
              <c:numCache/>
            </c:numRef>
          </c:val>
          <c:smooth val="0"/>
        </c:ser>
        <c:marker val="1"/>
        <c:axId val="24934346"/>
        <c:axId val="23082523"/>
      </c:lineChart>
      <c:catAx>
        <c:axId val="24934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082523"/>
        <c:crosses val="autoZero"/>
        <c:auto val="1"/>
        <c:lblOffset val="100"/>
        <c:noMultiLvlLbl val="0"/>
      </c:catAx>
      <c:valAx>
        <c:axId val="23082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3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6602048"/>
        <c:axId val="38091841"/>
      </c:lineChart>
      <c:catAx>
        <c:axId val="26602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91841"/>
        <c:crosses val="autoZero"/>
        <c:auto val="1"/>
        <c:lblOffset val="100"/>
        <c:noMultiLvlLbl val="0"/>
      </c:catAx>
      <c:valAx>
        <c:axId val="3809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02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7282250"/>
        <c:axId val="65540251"/>
      </c:lineChart>
      <c:catAx>
        <c:axId val="7282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40251"/>
        <c:crosses val="autoZero"/>
        <c:auto val="1"/>
        <c:lblOffset val="100"/>
        <c:noMultiLvlLbl val="0"/>
      </c:catAx>
      <c:valAx>
        <c:axId val="6554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82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52991348"/>
        <c:axId val="7160085"/>
      </c:lineChart>
      <c:catAx>
        <c:axId val="529913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60085"/>
        <c:crosses val="autoZero"/>
        <c:auto val="1"/>
        <c:lblOffset val="100"/>
        <c:noMultiLvlLbl val="0"/>
      </c:catAx>
      <c:valAx>
        <c:axId val="7160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91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64440766"/>
        <c:axId val="43095983"/>
      </c:lineChart>
      <c:catAx>
        <c:axId val="644407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095983"/>
        <c:crosses val="autoZero"/>
        <c:auto val="1"/>
        <c:lblOffset val="100"/>
        <c:noMultiLvlLbl val="0"/>
      </c:catAx>
      <c:valAx>
        <c:axId val="4309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40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52319528"/>
        <c:axId val="1113705"/>
      </c:lineChart>
      <c:catAx>
        <c:axId val="52319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13705"/>
        <c:crosses val="autoZero"/>
        <c:auto val="1"/>
        <c:lblOffset val="100"/>
        <c:noMultiLvlLbl val="0"/>
      </c:catAx>
      <c:valAx>
        <c:axId val="1113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10023346"/>
        <c:axId val="23101251"/>
      </c:lineChart>
      <c:catAx>
        <c:axId val="10023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01251"/>
        <c:crosses val="autoZero"/>
        <c:auto val="1"/>
        <c:lblOffset val="100"/>
        <c:noMultiLvlLbl val="0"/>
      </c:catAx>
      <c:valAx>
        <c:axId val="23101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23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6584668"/>
        <c:axId val="59262013"/>
      </c:lineChart>
      <c:catAx>
        <c:axId val="65846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62013"/>
        <c:crosses val="autoZero"/>
        <c:auto val="1"/>
        <c:lblOffset val="100"/>
        <c:noMultiLvlLbl val="0"/>
      </c:catAx>
      <c:valAx>
        <c:axId val="59262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63596070"/>
        <c:axId val="35493719"/>
      </c:lineChart>
      <c:catAx>
        <c:axId val="635960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93719"/>
        <c:crosses val="autoZero"/>
        <c:auto val="1"/>
        <c:lblOffset val="100"/>
        <c:noMultiLvlLbl val="0"/>
      </c:catAx>
      <c:valAx>
        <c:axId val="3549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96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51008016"/>
        <c:axId val="56418961"/>
      </c:lineChart>
      <c:catAx>
        <c:axId val="510080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418961"/>
        <c:crosses val="autoZero"/>
        <c:auto val="1"/>
        <c:lblOffset val="100"/>
        <c:noMultiLvlLbl val="0"/>
      </c:catAx>
      <c:valAx>
        <c:axId val="56418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8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38008602"/>
        <c:axId val="6533099"/>
      </c:lineChart>
      <c:catAx>
        <c:axId val="380086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33099"/>
        <c:crosses val="autoZero"/>
        <c:auto val="1"/>
        <c:lblOffset val="100"/>
        <c:noMultiLvlLbl val="0"/>
      </c:catAx>
      <c:valAx>
        <c:axId val="653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8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bordák!$C$162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bordák!$A$163:$A$177</c:f>
              <c:strCache/>
            </c:strRef>
          </c:cat>
          <c:val>
            <c:numRef>
              <c:f>bordák!$C$163:$C$177</c:f>
              <c:numCache/>
            </c:numRef>
          </c:val>
          <c:smooth val="0"/>
        </c:ser>
        <c:marker val="1"/>
        <c:axId val="6416116"/>
        <c:axId val="57745045"/>
      </c:lineChart>
      <c:catAx>
        <c:axId val="6416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45045"/>
        <c:crosses val="autoZero"/>
        <c:auto val="1"/>
        <c:lblOffset val="100"/>
        <c:noMultiLvlLbl val="0"/>
      </c:catAx>
      <c:valAx>
        <c:axId val="57745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58797892"/>
        <c:axId val="59418981"/>
      </c:lineChart>
      <c:catAx>
        <c:axId val="587978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418981"/>
        <c:crosses val="autoZero"/>
        <c:auto val="1"/>
        <c:lblOffset val="100"/>
        <c:noMultiLvlLbl val="0"/>
      </c:catAx>
      <c:valAx>
        <c:axId val="59418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7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65008782"/>
        <c:axId val="48208127"/>
      </c:lineChart>
      <c:catAx>
        <c:axId val="65008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08127"/>
        <c:crosses val="autoZero"/>
        <c:auto val="1"/>
        <c:lblOffset val="100"/>
        <c:noMultiLvlLbl val="0"/>
      </c:catAx>
      <c:valAx>
        <c:axId val="48208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31219960"/>
        <c:axId val="12544185"/>
      </c:lineChart>
      <c:catAx>
        <c:axId val="312199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544185"/>
        <c:crosses val="autoZero"/>
        <c:auto val="1"/>
        <c:lblOffset val="100"/>
        <c:noMultiLvlLbl val="0"/>
      </c:catAx>
      <c:valAx>
        <c:axId val="12544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9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bordák!$C$189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bordák!$A$190:$A$204</c:f>
              <c:strCache/>
            </c:strRef>
          </c:cat>
          <c:val>
            <c:numRef>
              <c:f>bordák!$C$190:$C$204</c:f>
              <c:numCache/>
            </c:numRef>
          </c:val>
          <c:smooth val="0"/>
        </c:ser>
        <c:marker val="1"/>
        <c:axId val="49943358"/>
        <c:axId val="46837039"/>
      </c:lineChart>
      <c:catAx>
        <c:axId val="49943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837039"/>
        <c:crosses val="autoZero"/>
        <c:auto val="1"/>
        <c:lblOffset val="100"/>
        <c:noMultiLvlLbl val="0"/>
      </c:catAx>
      <c:valAx>
        <c:axId val="4683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43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Relationship Id="rId34" Type="http://schemas.openxmlformats.org/officeDocument/2006/relationships/chart" Target="/xl/charts/chart64.xml" /><Relationship Id="rId35" Type="http://schemas.openxmlformats.org/officeDocument/2006/relationships/chart" Target="/xl/charts/chart65.xml" /><Relationship Id="rId36" Type="http://schemas.openxmlformats.org/officeDocument/2006/relationships/chart" Target="/xl/charts/chart66.xml" /><Relationship Id="rId37" Type="http://schemas.openxmlformats.org/officeDocument/2006/relationships/chart" Target="/xl/charts/chart67.xml" /><Relationship Id="rId38" Type="http://schemas.openxmlformats.org/officeDocument/2006/relationships/chart" Target="/xl/charts/chart68.xml" /><Relationship Id="rId39" Type="http://schemas.openxmlformats.org/officeDocument/2006/relationships/chart" Target="/xl/charts/chart69.xml" /><Relationship Id="rId40" Type="http://schemas.openxmlformats.org/officeDocument/2006/relationships/chart" Target="/xl/charts/chart70.xml" /><Relationship Id="rId41" Type="http://schemas.openxmlformats.org/officeDocument/2006/relationships/chart" Target="/xl/charts/chart71.xml" /><Relationship Id="rId42" Type="http://schemas.openxmlformats.org/officeDocument/2006/relationships/chart" Target="/xl/charts/chart72.xml" /><Relationship Id="rId43" Type="http://schemas.openxmlformats.org/officeDocument/2006/relationships/chart" Target="/xl/charts/chart73.xml" /><Relationship Id="rId44" Type="http://schemas.openxmlformats.org/officeDocument/2006/relationships/chart" Target="/xl/charts/chart74.xml" /><Relationship Id="rId45" Type="http://schemas.openxmlformats.org/officeDocument/2006/relationships/chart" Target="/xl/charts/chart75.xml" /><Relationship Id="rId46" Type="http://schemas.openxmlformats.org/officeDocument/2006/relationships/chart" Target="/xl/charts/chart76.xml" /><Relationship Id="rId47" Type="http://schemas.openxmlformats.org/officeDocument/2006/relationships/chart" Target="/xl/charts/chart77.xml" /><Relationship Id="rId48" Type="http://schemas.openxmlformats.org/officeDocument/2006/relationships/chart" Target="/xl/charts/chart78.xml" /><Relationship Id="rId49" Type="http://schemas.openxmlformats.org/officeDocument/2006/relationships/chart" Target="/xl/charts/chart79.xml" /><Relationship Id="rId50" Type="http://schemas.openxmlformats.org/officeDocument/2006/relationships/chart" Target="/xl/charts/chart80.xml" /><Relationship Id="rId51" Type="http://schemas.openxmlformats.org/officeDocument/2006/relationships/chart" Target="/xl/charts/chart81.xml" /><Relationship Id="rId52" Type="http://schemas.openxmlformats.org/officeDocument/2006/relationships/chart" Target="/xl/charts/chart8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161925</xdr:rowOff>
    </xdr:from>
    <xdr:to>
      <xdr:col>0</xdr:col>
      <xdr:colOff>3429000</xdr:colOff>
      <xdr:row>3</xdr:row>
      <xdr:rowOff>4667250</xdr:rowOff>
    </xdr:to>
    <xdr:sp>
      <xdr:nvSpPr>
        <xdr:cNvPr id="1" name="Rectangle 3"/>
        <xdr:cNvSpPr>
          <a:spLocks/>
        </xdr:cNvSpPr>
      </xdr:nvSpPr>
      <xdr:spPr>
        <a:xfrm>
          <a:off x="114300" y="1247775"/>
          <a:ext cx="3314700" cy="450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161925</xdr:rowOff>
    </xdr:from>
    <xdr:to>
      <xdr:col>0</xdr:col>
      <xdr:colOff>3429000</xdr:colOff>
      <xdr:row>3</xdr:row>
      <xdr:rowOff>4619625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4300" y="1247775"/>
          <a:ext cx="3314700" cy="445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Vizsgált hajó képe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152400</xdr:rowOff>
    </xdr:from>
    <xdr:to>
      <xdr:col>8</xdr:col>
      <xdr:colOff>238125</xdr:colOff>
      <xdr:row>11</xdr:row>
      <xdr:rowOff>142875</xdr:rowOff>
    </xdr:to>
    <xdr:graphicFrame>
      <xdr:nvGraphicFramePr>
        <xdr:cNvPr id="1" name="Chart 1"/>
        <xdr:cNvGraphicFramePr/>
      </xdr:nvGraphicFramePr>
      <xdr:xfrm>
        <a:off x="2076450" y="152400"/>
        <a:ext cx="29051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28</xdr:row>
      <xdr:rowOff>0</xdr:rowOff>
    </xdr:from>
    <xdr:to>
      <xdr:col>8</xdr:col>
      <xdr:colOff>247650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2162175" y="4648200"/>
        <a:ext cx="28289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361950</xdr:colOff>
      <xdr:row>54</xdr:row>
      <xdr:rowOff>0</xdr:rowOff>
    </xdr:from>
    <xdr:to>
      <xdr:col>8</xdr:col>
      <xdr:colOff>200025</xdr:colOff>
      <xdr:row>64</xdr:row>
      <xdr:rowOff>123825</xdr:rowOff>
    </xdr:to>
    <xdr:graphicFrame>
      <xdr:nvGraphicFramePr>
        <xdr:cNvPr id="3" name="Chart 3"/>
        <xdr:cNvGraphicFramePr/>
      </xdr:nvGraphicFramePr>
      <xdr:xfrm>
        <a:off x="2152650" y="9124950"/>
        <a:ext cx="2790825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134</xdr:row>
      <xdr:rowOff>9525</xdr:rowOff>
    </xdr:from>
    <xdr:to>
      <xdr:col>8</xdr:col>
      <xdr:colOff>371475</xdr:colOff>
      <xdr:row>146</xdr:row>
      <xdr:rowOff>0</xdr:rowOff>
    </xdr:to>
    <xdr:graphicFrame>
      <xdr:nvGraphicFramePr>
        <xdr:cNvPr id="4" name="Chart 6"/>
        <xdr:cNvGraphicFramePr/>
      </xdr:nvGraphicFramePr>
      <xdr:xfrm>
        <a:off x="2105025" y="22888575"/>
        <a:ext cx="300990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514350</xdr:colOff>
      <xdr:row>294</xdr:row>
      <xdr:rowOff>0</xdr:rowOff>
    </xdr:from>
    <xdr:to>
      <xdr:col>7</xdr:col>
      <xdr:colOff>342900</xdr:colOff>
      <xdr:row>303</xdr:row>
      <xdr:rowOff>161925</xdr:rowOff>
    </xdr:to>
    <xdr:graphicFrame>
      <xdr:nvGraphicFramePr>
        <xdr:cNvPr id="5" name="Chart 12"/>
        <xdr:cNvGraphicFramePr/>
      </xdr:nvGraphicFramePr>
      <xdr:xfrm>
        <a:off x="2305050" y="50387250"/>
        <a:ext cx="2190750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361950</xdr:colOff>
      <xdr:row>81</xdr:row>
      <xdr:rowOff>0</xdr:rowOff>
    </xdr:from>
    <xdr:to>
      <xdr:col>8</xdr:col>
      <xdr:colOff>200025</xdr:colOff>
      <xdr:row>91</xdr:row>
      <xdr:rowOff>123825</xdr:rowOff>
    </xdr:to>
    <xdr:graphicFrame>
      <xdr:nvGraphicFramePr>
        <xdr:cNvPr id="6" name="Chart 13"/>
        <xdr:cNvGraphicFramePr/>
      </xdr:nvGraphicFramePr>
      <xdr:xfrm>
        <a:off x="2152650" y="13763625"/>
        <a:ext cx="2790825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361950</xdr:colOff>
      <xdr:row>107</xdr:row>
      <xdr:rowOff>0</xdr:rowOff>
    </xdr:from>
    <xdr:to>
      <xdr:col>8</xdr:col>
      <xdr:colOff>200025</xdr:colOff>
      <xdr:row>117</xdr:row>
      <xdr:rowOff>123825</xdr:rowOff>
    </xdr:to>
    <xdr:graphicFrame>
      <xdr:nvGraphicFramePr>
        <xdr:cNvPr id="7" name="Chart 14"/>
        <xdr:cNvGraphicFramePr/>
      </xdr:nvGraphicFramePr>
      <xdr:xfrm>
        <a:off x="2152650" y="18240375"/>
        <a:ext cx="2790825" cy="178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314325</xdr:colOff>
      <xdr:row>160</xdr:row>
      <xdr:rowOff>9525</xdr:rowOff>
    </xdr:from>
    <xdr:to>
      <xdr:col>8</xdr:col>
      <xdr:colOff>371475</xdr:colOff>
      <xdr:row>172</xdr:row>
      <xdr:rowOff>0</xdr:rowOff>
    </xdr:to>
    <xdr:graphicFrame>
      <xdr:nvGraphicFramePr>
        <xdr:cNvPr id="8" name="Chart 16"/>
        <xdr:cNvGraphicFramePr/>
      </xdr:nvGraphicFramePr>
      <xdr:xfrm>
        <a:off x="2105025" y="27365325"/>
        <a:ext cx="3009900" cy="1971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314325</xdr:colOff>
      <xdr:row>187</xdr:row>
      <xdr:rowOff>9525</xdr:rowOff>
    </xdr:from>
    <xdr:to>
      <xdr:col>8</xdr:col>
      <xdr:colOff>371475</xdr:colOff>
      <xdr:row>199</xdr:row>
      <xdr:rowOff>0</xdr:rowOff>
    </xdr:to>
    <xdr:graphicFrame>
      <xdr:nvGraphicFramePr>
        <xdr:cNvPr id="9" name="Chart 17"/>
        <xdr:cNvGraphicFramePr/>
      </xdr:nvGraphicFramePr>
      <xdr:xfrm>
        <a:off x="2105025" y="32004000"/>
        <a:ext cx="3009900" cy="1971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314325</xdr:colOff>
      <xdr:row>213</xdr:row>
      <xdr:rowOff>9525</xdr:rowOff>
    </xdr:from>
    <xdr:to>
      <xdr:col>8</xdr:col>
      <xdr:colOff>371475</xdr:colOff>
      <xdr:row>225</xdr:row>
      <xdr:rowOff>0</xdr:rowOff>
    </xdr:to>
    <xdr:graphicFrame>
      <xdr:nvGraphicFramePr>
        <xdr:cNvPr id="10" name="Chart 18"/>
        <xdr:cNvGraphicFramePr/>
      </xdr:nvGraphicFramePr>
      <xdr:xfrm>
        <a:off x="2105025" y="36480750"/>
        <a:ext cx="3009900" cy="1971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314325</xdr:colOff>
      <xdr:row>240</xdr:row>
      <xdr:rowOff>9525</xdr:rowOff>
    </xdr:from>
    <xdr:to>
      <xdr:col>8</xdr:col>
      <xdr:colOff>371475</xdr:colOff>
      <xdr:row>252</xdr:row>
      <xdr:rowOff>0</xdr:rowOff>
    </xdr:to>
    <xdr:graphicFrame>
      <xdr:nvGraphicFramePr>
        <xdr:cNvPr id="11" name="Chart 19"/>
        <xdr:cNvGraphicFramePr/>
      </xdr:nvGraphicFramePr>
      <xdr:xfrm>
        <a:off x="2105025" y="41119425"/>
        <a:ext cx="3009900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266</xdr:row>
      <xdr:rowOff>9525</xdr:rowOff>
    </xdr:from>
    <xdr:to>
      <xdr:col>8</xdr:col>
      <xdr:colOff>371475</xdr:colOff>
      <xdr:row>278</xdr:row>
      <xdr:rowOff>0</xdr:rowOff>
    </xdr:to>
    <xdr:graphicFrame>
      <xdr:nvGraphicFramePr>
        <xdr:cNvPr id="12" name="Chart 20"/>
        <xdr:cNvGraphicFramePr/>
      </xdr:nvGraphicFramePr>
      <xdr:xfrm>
        <a:off x="2105025" y="45596175"/>
        <a:ext cx="3009900" cy="1971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314325</xdr:colOff>
      <xdr:row>293</xdr:row>
      <xdr:rowOff>9525</xdr:rowOff>
    </xdr:from>
    <xdr:to>
      <xdr:col>8</xdr:col>
      <xdr:colOff>371475</xdr:colOff>
      <xdr:row>305</xdr:row>
      <xdr:rowOff>0</xdr:rowOff>
    </xdr:to>
    <xdr:graphicFrame>
      <xdr:nvGraphicFramePr>
        <xdr:cNvPr id="13" name="Chart 21"/>
        <xdr:cNvGraphicFramePr/>
      </xdr:nvGraphicFramePr>
      <xdr:xfrm>
        <a:off x="2105025" y="50234850"/>
        <a:ext cx="3009900" cy="2047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28575</xdr:colOff>
      <xdr:row>333</xdr:row>
      <xdr:rowOff>9525</xdr:rowOff>
    </xdr:from>
    <xdr:to>
      <xdr:col>8</xdr:col>
      <xdr:colOff>542925</xdr:colOff>
      <xdr:row>337</xdr:row>
      <xdr:rowOff>152400</xdr:rowOff>
    </xdr:to>
    <xdr:graphicFrame>
      <xdr:nvGraphicFramePr>
        <xdr:cNvPr id="14" name="Chart 22"/>
        <xdr:cNvGraphicFramePr/>
      </xdr:nvGraphicFramePr>
      <xdr:xfrm>
        <a:off x="619125" y="56978550"/>
        <a:ext cx="4667250" cy="790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338</xdr:row>
      <xdr:rowOff>0</xdr:rowOff>
    </xdr:from>
    <xdr:to>
      <xdr:col>8</xdr:col>
      <xdr:colOff>523875</xdr:colOff>
      <xdr:row>348</xdr:row>
      <xdr:rowOff>0</xdr:rowOff>
    </xdr:to>
    <xdr:graphicFrame>
      <xdr:nvGraphicFramePr>
        <xdr:cNvPr id="15" name="Chart 23"/>
        <xdr:cNvGraphicFramePr/>
      </xdr:nvGraphicFramePr>
      <xdr:xfrm>
        <a:off x="590550" y="57778650"/>
        <a:ext cx="4676775" cy="1619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348</xdr:row>
      <xdr:rowOff>19050</xdr:rowOff>
    </xdr:from>
    <xdr:to>
      <xdr:col>8</xdr:col>
      <xdr:colOff>533400</xdr:colOff>
      <xdr:row>360</xdr:row>
      <xdr:rowOff>0</xdr:rowOff>
    </xdr:to>
    <xdr:graphicFrame>
      <xdr:nvGraphicFramePr>
        <xdr:cNvPr id="16" name="Chart 24"/>
        <xdr:cNvGraphicFramePr/>
      </xdr:nvGraphicFramePr>
      <xdr:xfrm>
        <a:off x="590550" y="59416950"/>
        <a:ext cx="4686300" cy="1924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360</xdr:row>
      <xdr:rowOff>9525</xdr:rowOff>
    </xdr:from>
    <xdr:to>
      <xdr:col>8</xdr:col>
      <xdr:colOff>542925</xdr:colOff>
      <xdr:row>375</xdr:row>
      <xdr:rowOff>0</xdr:rowOff>
    </xdr:to>
    <xdr:graphicFrame>
      <xdr:nvGraphicFramePr>
        <xdr:cNvPr id="17" name="Chart 25"/>
        <xdr:cNvGraphicFramePr/>
      </xdr:nvGraphicFramePr>
      <xdr:xfrm>
        <a:off x="590550" y="61350525"/>
        <a:ext cx="4695825" cy="2419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9525</xdr:colOff>
      <xdr:row>375</xdr:row>
      <xdr:rowOff>38100</xdr:rowOff>
    </xdr:from>
    <xdr:to>
      <xdr:col>8</xdr:col>
      <xdr:colOff>561975</xdr:colOff>
      <xdr:row>389</xdr:row>
      <xdr:rowOff>0</xdr:rowOff>
    </xdr:to>
    <xdr:graphicFrame>
      <xdr:nvGraphicFramePr>
        <xdr:cNvPr id="18" name="Chart 26"/>
        <xdr:cNvGraphicFramePr/>
      </xdr:nvGraphicFramePr>
      <xdr:xfrm>
        <a:off x="600075" y="63807975"/>
        <a:ext cx="4705350" cy="2228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389</xdr:row>
      <xdr:rowOff>0</xdr:rowOff>
    </xdr:from>
    <xdr:to>
      <xdr:col>8</xdr:col>
      <xdr:colOff>561975</xdr:colOff>
      <xdr:row>403</xdr:row>
      <xdr:rowOff>0</xdr:rowOff>
    </xdr:to>
    <xdr:graphicFrame>
      <xdr:nvGraphicFramePr>
        <xdr:cNvPr id="19" name="Chart 27"/>
        <xdr:cNvGraphicFramePr/>
      </xdr:nvGraphicFramePr>
      <xdr:xfrm>
        <a:off x="590550" y="66036825"/>
        <a:ext cx="4714875" cy="2266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403</xdr:row>
      <xdr:rowOff>0</xdr:rowOff>
    </xdr:from>
    <xdr:to>
      <xdr:col>8</xdr:col>
      <xdr:colOff>571500</xdr:colOff>
      <xdr:row>417</xdr:row>
      <xdr:rowOff>0</xdr:rowOff>
    </xdr:to>
    <xdr:graphicFrame>
      <xdr:nvGraphicFramePr>
        <xdr:cNvPr id="20" name="Chart 28"/>
        <xdr:cNvGraphicFramePr/>
      </xdr:nvGraphicFramePr>
      <xdr:xfrm>
        <a:off x="590550" y="68303775"/>
        <a:ext cx="4724400" cy="2266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417</xdr:row>
      <xdr:rowOff>0</xdr:rowOff>
    </xdr:from>
    <xdr:to>
      <xdr:col>8</xdr:col>
      <xdr:colOff>581025</xdr:colOff>
      <xdr:row>430</xdr:row>
      <xdr:rowOff>142875</xdr:rowOff>
    </xdr:to>
    <xdr:graphicFrame>
      <xdr:nvGraphicFramePr>
        <xdr:cNvPr id="21" name="Chart 29"/>
        <xdr:cNvGraphicFramePr/>
      </xdr:nvGraphicFramePr>
      <xdr:xfrm>
        <a:off x="590550" y="70570725"/>
        <a:ext cx="4733925" cy="2247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431</xdr:row>
      <xdr:rowOff>19050</xdr:rowOff>
    </xdr:from>
    <xdr:to>
      <xdr:col>8</xdr:col>
      <xdr:colOff>581025</xdr:colOff>
      <xdr:row>444</xdr:row>
      <xdr:rowOff>0</xdr:rowOff>
    </xdr:to>
    <xdr:graphicFrame>
      <xdr:nvGraphicFramePr>
        <xdr:cNvPr id="22" name="Chart 30"/>
        <xdr:cNvGraphicFramePr/>
      </xdr:nvGraphicFramePr>
      <xdr:xfrm>
        <a:off x="590550" y="72856725"/>
        <a:ext cx="4733925" cy="2085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444</xdr:row>
      <xdr:rowOff>19050</xdr:rowOff>
    </xdr:from>
    <xdr:to>
      <xdr:col>8</xdr:col>
      <xdr:colOff>581025</xdr:colOff>
      <xdr:row>452</xdr:row>
      <xdr:rowOff>142875</xdr:rowOff>
    </xdr:to>
    <xdr:graphicFrame>
      <xdr:nvGraphicFramePr>
        <xdr:cNvPr id="23" name="Chart 31"/>
        <xdr:cNvGraphicFramePr/>
      </xdr:nvGraphicFramePr>
      <xdr:xfrm>
        <a:off x="590550" y="74961750"/>
        <a:ext cx="4733925" cy="14192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453</xdr:row>
      <xdr:rowOff>9525</xdr:rowOff>
    </xdr:from>
    <xdr:to>
      <xdr:col>8</xdr:col>
      <xdr:colOff>581025</xdr:colOff>
      <xdr:row>457</xdr:row>
      <xdr:rowOff>152400</xdr:rowOff>
    </xdr:to>
    <xdr:graphicFrame>
      <xdr:nvGraphicFramePr>
        <xdr:cNvPr id="24" name="Chart 32"/>
        <xdr:cNvGraphicFramePr/>
      </xdr:nvGraphicFramePr>
      <xdr:xfrm>
        <a:off x="590550" y="76409550"/>
        <a:ext cx="4733925" cy="790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28575</xdr:rowOff>
    </xdr:from>
    <xdr:to>
      <xdr:col>14</xdr:col>
      <xdr:colOff>552450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76200" y="838200"/>
        <a:ext cx="847725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28575</xdr:rowOff>
    </xdr:from>
    <xdr:to>
      <xdr:col>14</xdr:col>
      <xdr:colOff>552450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6200" y="3800475"/>
        <a:ext cx="8477250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41</xdr:row>
      <xdr:rowOff>28575</xdr:rowOff>
    </xdr:from>
    <xdr:to>
      <xdr:col>14</xdr:col>
      <xdr:colOff>552450</xdr:colOff>
      <xdr:row>50</xdr:row>
      <xdr:rowOff>142875</xdr:rowOff>
    </xdr:to>
    <xdr:graphicFrame>
      <xdr:nvGraphicFramePr>
        <xdr:cNvPr id="3" name="Chart 3"/>
        <xdr:cNvGraphicFramePr/>
      </xdr:nvGraphicFramePr>
      <xdr:xfrm>
        <a:off x="76200" y="6762750"/>
        <a:ext cx="8477250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59</xdr:row>
      <xdr:rowOff>28575</xdr:rowOff>
    </xdr:from>
    <xdr:to>
      <xdr:col>14</xdr:col>
      <xdr:colOff>552450</xdr:colOff>
      <xdr:row>68</xdr:row>
      <xdr:rowOff>142875</xdr:rowOff>
    </xdr:to>
    <xdr:graphicFrame>
      <xdr:nvGraphicFramePr>
        <xdr:cNvPr id="4" name="Chart 4"/>
        <xdr:cNvGraphicFramePr/>
      </xdr:nvGraphicFramePr>
      <xdr:xfrm>
        <a:off x="76200" y="9725025"/>
        <a:ext cx="847725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77</xdr:row>
      <xdr:rowOff>28575</xdr:rowOff>
    </xdr:from>
    <xdr:to>
      <xdr:col>14</xdr:col>
      <xdr:colOff>552450</xdr:colOff>
      <xdr:row>86</xdr:row>
      <xdr:rowOff>142875</xdr:rowOff>
    </xdr:to>
    <xdr:graphicFrame>
      <xdr:nvGraphicFramePr>
        <xdr:cNvPr id="5" name="Chart 5"/>
        <xdr:cNvGraphicFramePr/>
      </xdr:nvGraphicFramePr>
      <xdr:xfrm>
        <a:off x="76200" y="12687300"/>
        <a:ext cx="8477250" cy="1571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95</xdr:row>
      <xdr:rowOff>28575</xdr:rowOff>
    </xdr:from>
    <xdr:to>
      <xdr:col>14</xdr:col>
      <xdr:colOff>552450</xdr:colOff>
      <xdr:row>104</xdr:row>
      <xdr:rowOff>142875</xdr:rowOff>
    </xdr:to>
    <xdr:graphicFrame>
      <xdr:nvGraphicFramePr>
        <xdr:cNvPr id="6" name="Chart 6"/>
        <xdr:cNvGraphicFramePr/>
      </xdr:nvGraphicFramePr>
      <xdr:xfrm>
        <a:off x="76200" y="15649575"/>
        <a:ext cx="8477250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0</xdr:rowOff>
    </xdr:from>
    <xdr:to>
      <xdr:col>13</xdr:col>
      <xdr:colOff>476250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123825" y="828675"/>
        <a:ext cx="839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</xdr:row>
      <xdr:rowOff>0</xdr:rowOff>
    </xdr:from>
    <xdr:to>
      <xdr:col>13</xdr:col>
      <xdr:colOff>552450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152400" y="828675"/>
        <a:ext cx="843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5</xdr:row>
      <xdr:rowOff>0</xdr:rowOff>
    </xdr:from>
    <xdr:to>
      <xdr:col>13</xdr:col>
      <xdr:colOff>552450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171450" y="828675"/>
        <a:ext cx="8420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5</xdr:row>
      <xdr:rowOff>0</xdr:rowOff>
    </xdr:from>
    <xdr:to>
      <xdr:col>13</xdr:col>
      <xdr:colOff>552450</xdr:colOff>
      <xdr:row>5</xdr:row>
      <xdr:rowOff>0</xdr:rowOff>
    </xdr:to>
    <xdr:graphicFrame>
      <xdr:nvGraphicFramePr>
        <xdr:cNvPr id="4" name="Chart 4"/>
        <xdr:cNvGraphicFramePr/>
      </xdr:nvGraphicFramePr>
      <xdr:xfrm>
        <a:off x="180975" y="828675"/>
        <a:ext cx="841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5</xdr:row>
      <xdr:rowOff>0</xdr:rowOff>
    </xdr:from>
    <xdr:to>
      <xdr:col>13</xdr:col>
      <xdr:colOff>552450</xdr:colOff>
      <xdr:row>5</xdr:row>
      <xdr:rowOff>0</xdr:rowOff>
    </xdr:to>
    <xdr:graphicFrame>
      <xdr:nvGraphicFramePr>
        <xdr:cNvPr id="5" name="Chart 5"/>
        <xdr:cNvGraphicFramePr/>
      </xdr:nvGraphicFramePr>
      <xdr:xfrm>
        <a:off x="171450" y="828675"/>
        <a:ext cx="8420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5</xdr:row>
      <xdr:rowOff>0</xdr:rowOff>
    </xdr:from>
    <xdr:to>
      <xdr:col>13</xdr:col>
      <xdr:colOff>571500</xdr:colOff>
      <xdr:row>5</xdr:row>
      <xdr:rowOff>0</xdr:rowOff>
    </xdr:to>
    <xdr:graphicFrame>
      <xdr:nvGraphicFramePr>
        <xdr:cNvPr id="6" name="Chart 6"/>
        <xdr:cNvGraphicFramePr/>
      </xdr:nvGraphicFramePr>
      <xdr:xfrm>
        <a:off x="219075" y="828675"/>
        <a:ext cx="8391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5</xdr:row>
      <xdr:rowOff>0</xdr:rowOff>
    </xdr:from>
    <xdr:to>
      <xdr:col>13</xdr:col>
      <xdr:colOff>466725</xdr:colOff>
      <xdr:row>5</xdr:row>
      <xdr:rowOff>0</xdr:rowOff>
    </xdr:to>
    <xdr:graphicFrame>
      <xdr:nvGraphicFramePr>
        <xdr:cNvPr id="7" name="Chart 7"/>
        <xdr:cNvGraphicFramePr/>
      </xdr:nvGraphicFramePr>
      <xdr:xfrm>
        <a:off x="152400" y="828675"/>
        <a:ext cx="8353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13</xdr:col>
      <xdr:colOff>581025</xdr:colOff>
      <xdr:row>5</xdr:row>
      <xdr:rowOff>0</xdr:rowOff>
    </xdr:to>
    <xdr:graphicFrame>
      <xdr:nvGraphicFramePr>
        <xdr:cNvPr id="8" name="Chart 8"/>
        <xdr:cNvGraphicFramePr/>
      </xdr:nvGraphicFramePr>
      <xdr:xfrm>
        <a:off x="161925" y="828675"/>
        <a:ext cx="8458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5</xdr:row>
      <xdr:rowOff>0</xdr:rowOff>
    </xdr:from>
    <xdr:to>
      <xdr:col>13</xdr:col>
      <xdr:colOff>523875</xdr:colOff>
      <xdr:row>5</xdr:row>
      <xdr:rowOff>0</xdr:rowOff>
    </xdr:to>
    <xdr:graphicFrame>
      <xdr:nvGraphicFramePr>
        <xdr:cNvPr id="9" name="Chart 9"/>
        <xdr:cNvGraphicFramePr/>
      </xdr:nvGraphicFramePr>
      <xdr:xfrm>
        <a:off x="180975" y="828675"/>
        <a:ext cx="83820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180975</xdr:colOff>
      <xdr:row>5</xdr:row>
      <xdr:rowOff>0</xdr:rowOff>
    </xdr:from>
    <xdr:to>
      <xdr:col>13</xdr:col>
      <xdr:colOff>552450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180975" y="828675"/>
        <a:ext cx="8410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5</xdr:row>
      <xdr:rowOff>0</xdr:rowOff>
    </xdr:from>
    <xdr:to>
      <xdr:col>13</xdr:col>
      <xdr:colOff>552450</xdr:colOff>
      <xdr:row>5</xdr:row>
      <xdr:rowOff>0</xdr:rowOff>
    </xdr:to>
    <xdr:graphicFrame>
      <xdr:nvGraphicFramePr>
        <xdr:cNvPr id="11" name="Chart 11"/>
        <xdr:cNvGraphicFramePr/>
      </xdr:nvGraphicFramePr>
      <xdr:xfrm>
        <a:off x="200025" y="828675"/>
        <a:ext cx="8391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209550</xdr:colOff>
      <xdr:row>5</xdr:row>
      <xdr:rowOff>0</xdr:rowOff>
    </xdr:from>
    <xdr:to>
      <xdr:col>13</xdr:col>
      <xdr:colOff>581025</xdr:colOff>
      <xdr:row>5</xdr:row>
      <xdr:rowOff>0</xdr:rowOff>
    </xdr:to>
    <xdr:graphicFrame>
      <xdr:nvGraphicFramePr>
        <xdr:cNvPr id="12" name="Chart 12"/>
        <xdr:cNvGraphicFramePr/>
      </xdr:nvGraphicFramePr>
      <xdr:xfrm>
        <a:off x="209550" y="828675"/>
        <a:ext cx="8410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5</xdr:row>
      <xdr:rowOff>0</xdr:rowOff>
    </xdr:from>
    <xdr:to>
      <xdr:col>13</xdr:col>
      <xdr:colOff>561975</xdr:colOff>
      <xdr:row>5</xdr:row>
      <xdr:rowOff>0</xdr:rowOff>
    </xdr:to>
    <xdr:graphicFrame>
      <xdr:nvGraphicFramePr>
        <xdr:cNvPr id="13" name="Chart 13"/>
        <xdr:cNvGraphicFramePr/>
      </xdr:nvGraphicFramePr>
      <xdr:xfrm>
        <a:off x="219075" y="828675"/>
        <a:ext cx="83820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33</xdr:row>
      <xdr:rowOff>0</xdr:rowOff>
    </xdr:from>
    <xdr:to>
      <xdr:col>13</xdr:col>
      <xdr:colOff>476250</xdr:colOff>
      <xdr:row>33</xdr:row>
      <xdr:rowOff>0</xdr:rowOff>
    </xdr:to>
    <xdr:graphicFrame>
      <xdr:nvGraphicFramePr>
        <xdr:cNvPr id="14" name="Chart 14"/>
        <xdr:cNvGraphicFramePr/>
      </xdr:nvGraphicFramePr>
      <xdr:xfrm>
        <a:off x="123825" y="6143625"/>
        <a:ext cx="83915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152400</xdr:colOff>
      <xdr:row>33</xdr:row>
      <xdr:rowOff>0</xdr:rowOff>
    </xdr:from>
    <xdr:to>
      <xdr:col>13</xdr:col>
      <xdr:colOff>552450</xdr:colOff>
      <xdr:row>33</xdr:row>
      <xdr:rowOff>0</xdr:rowOff>
    </xdr:to>
    <xdr:graphicFrame>
      <xdr:nvGraphicFramePr>
        <xdr:cNvPr id="15" name="Chart 15"/>
        <xdr:cNvGraphicFramePr/>
      </xdr:nvGraphicFramePr>
      <xdr:xfrm>
        <a:off x="152400" y="6143625"/>
        <a:ext cx="84391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171450</xdr:colOff>
      <xdr:row>33</xdr:row>
      <xdr:rowOff>0</xdr:rowOff>
    </xdr:from>
    <xdr:to>
      <xdr:col>13</xdr:col>
      <xdr:colOff>552450</xdr:colOff>
      <xdr:row>33</xdr:row>
      <xdr:rowOff>0</xdr:rowOff>
    </xdr:to>
    <xdr:graphicFrame>
      <xdr:nvGraphicFramePr>
        <xdr:cNvPr id="16" name="Chart 16"/>
        <xdr:cNvGraphicFramePr/>
      </xdr:nvGraphicFramePr>
      <xdr:xfrm>
        <a:off x="171450" y="6143625"/>
        <a:ext cx="84201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180975</xdr:colOff>
      <xdr:row>33</xdr:row>
      <xdr:rowOff>0</xdr:rowOff>
    </xdr:from>
    <xdr:to>
      <xdr:col>13</xdr:col>
      <xdr:colOff>552450</xdr:colOff>
      <xdr:row>33</xdr:row>
      <xdr:rowOff>0</xdr:rowOff>
    </xdr:to>
    <xdr:graphicFrame>
      <xdr:nvGraphicFramePr>
        <xdr:cNvPr id="17" name="Chart 17"/>
        <xdr:cNvGraphicFramePr/>
      </xdr:nvGraphicFramePr>
      <xdr:xfrm>
        <a:off x="180975" y="6143625"/>
        <a:ext cx="84105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171450</xdr:colOff>
      <xdr:row>33</xdr:row>
      <xdr:rowOff>0</xdr:rowOff>
    </xdr:from>
    <xdr:to>
      <xdr:col>13</xdr:col>
      <xdr:colOff>552450</xdr:colOff>
      <xdr:row>33</xdr:row>
      <xdr:rowOff>0</xdr:rowOff>
    </xdr:to>
    <xdr:graphicFrame>
      <xdr:nvGraphicFramePr>
        <xdr:cNvPr id="18" name="Chart 18"/>
        <xdr:cNvGraphicFramePr/>
      </xdr:nvGraphicFramePr>
      <xdr:xfrm>
        <a:off x="171450" y="6143625"/>
        <a:ext cx="8420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219075</xdr:colOff>
      <xdr:row>33</xdr:row>
      <xdr:rowOff>0</xdr:rowOff>
    </xdr:from>
    <xdr:to>
      <xdr:col>13</xdr:col>
      <xdr:colOff>571500</xdr:colOff>
      <xdr:row>33</xdr:row>
      <xdr:rowOff>0</xdr:rowOff>
    </xdr:to>
    <xdr:graphicFrame>
      <xdr:nvGraphicFramePr>
        <xdr:cNvPr id="19" name="Chart 19"/>
        <xdr:cNvGraphicFramePr/>
      </xdr:nvGraphicFramePr>
      <xdr:xfrm>
        <a:off x="219075" y="6143625"/>
        <a:ext cx="8391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152400</xdr:colOff>
      <xdr:row>33</xdr:row>
      <xdr:rowOff>0</xdr:rowOff>
    </xdr:from>
    <xdr:to>
      <xdr:col>13</xdr:col>
      <xdr:colOff>466725</xdr:colOff>
      <xdr:row>33</xdr:row>
      <xdr:rowOff>0</xdr:rowOff>
    </xdr:to>
    <xdr:graphicFrame>
      <xdr:nvGraphicFramePr>
        <xdr:cNvPr id="20" name="Chart 20"/>
        <xdr:cNvGraphicFramePr/>
      </xdr:nvGraphicFramePr>
      <xdr:xfrm>
        <a:off x="152400" y="6143625"/>
        <a:ext cx="83534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161925</xdr:colOff>
      <xdr:row>33</xdr:row>
      <xdr:rowOff>0</xdr:rowOff>
    </xdr:from>
    <xdr:to>
      <xdr:col>13</xdr:col>
      <xdr:colOff>581025</xdr:colOff>
      <xdr:row>33</xdr:row>
      <xdr:rowOff>0</xdr:rowOff>
    </xdr:to>
    <xdr:graphicFrame>
      <xdr:nvGraphicFramePr>
        <xdr:cNvPr id="21" name="Chart 21"/>
        <xdr:cNvGraphicFramePr/>
      </xdr:nvGraphicFramePr>
      <xdr:xfrm>
        <a:off x="161925" y="6143625"/>
        <a:ext cx="84582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180975</xdr:colOff>
      <xdr:row>33</xdr:row>
      <xdr:rowOff>0</xdr:rowOff>
    </xdr:from>
    <xdr:to>
      <xdr:col>13</xdr:col>
      <xdr:colOff>523875</xdr:colOff>
      <xdr:row>33</xdr:row>
      <xdr:rowOff>0</xdr:rowOff>
    </xdr:to>
    <xdr:graphicFrame>
      <xdr:nvGraphicFramePr>
        <xdr:cNvPr id="22" name="Chart 22"/>
        <xdr:cNvGraphicFramePr/>
      </xdr:nvGraphicFramePr>
      <xdr:xfrm>
        <a:off x="180975" y="6143625"/>
        <a:ext cx="83820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180975</xdr:colOff>
      <xdr:row>33</xdr:row>
      <xdr:rowOff>0</xdr:rowOff>
    </xdr:from>
    <xdr:to>
      <xdr:col>13</xdr:col>
      <xdr:colOff>552450</xdr:colOff>
      <xdr:row>33</xdr:row>
      <xdr:rowOff>0</xdr:rowOff>
    </xdr:to>
    <xdr:graphicFrame>
      <xdr:nvGraphicFramePr>
        <xdr:cNvPr id="23" name="Chart 23"/>
        <xdr:cNvGraphicFramePr/>
      </xdr:nvGraphicFramePr>
      <xdr:xfrm>
        <a:off x="180975" y="6143625"/>
        <a:ext cx="84105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200025</xdr:colOff>
      <xdr:row>33</xdr:row>
      <xdr:rowOff>0</xdr:rowOff>
    </xdr:from>
    <xdr:to>
      <xdr:col>13</xdr:col>
      <xdr:colOff>552450</xdr:colOff>
      <xdr:row>33</xdr:row>
      <xdr:rowOff>0</xdr:rowOff>
    </xdr:to>
    <xdr:graphicFrame>
      <xdr:nvGraphicFramePr>
        <xdr:cNvPr id="24" name="Chart 24"/>
        <xdr:cNvGraphicFramePr/>
      </xdr:nvGraphicFramePr>
      <xdr:xfrm>
        <a:off x="200025" y="6143625"/>
        <a:ext cx="83915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209550</xdr:colOff>
      <xdr:row>33</xdr:row>
      <xdr:rowOff>0</xdr:rowOff>
    </xdr:from>
    <xdr:to>
      <xdr:col>13</xdr:col>
      <xdr:colOff>581025</xdr:colOff>
      <xdr:row>33</xdr:row>
      <xdr:rowOff>0</xdr:rowOff>
    </xdr:to>
    <xdr:graphicFrame>
      <xdr:nvGraphicFramePr>
        <xdr:cNvPr id="25" name="Chart 25"/>
        <xdr:cNvGraphicFramePr/>
      </xdr:nvGraphicFramePr>
      <xdr:xfrm>
        <a:off x="209550" y="6143625"/>
        <a:ext cx="8410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219075</xdr:colOff>
      <xdr:row>33</xdr:row>
      <xdr:rowOff>0</xdr:rowOff>
    </xdr:from>
    <xdr:to>
      <xdr:col>13</xdr:col>
      <xdr:colOff>561975</xdr:colOff>
      <xdr:row>33</xdr:row>
      <xdr:rowOff>0</xdr:rowOff>
    </xdr:to>
    <xdr:graphicFrame>
      <xdr:nvGraphicFramePr>
        <xdr:cNvPr id="26" name="Chart 26"/>
        <xdr:cNvGraphicFramePr/>
      </xdr:nvGraphicFramePr>
      <xdr:xfrm>
        <a:off x="219075" y="6143625"/>
        <a:ext cx="83820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123825</xdr:colOff>
      <xdr:row>21</xdr:row>
      <xdr:rowOff>0</xdr:rowOff>
    </xdr:from>
    <xdr:to>
      <xdr:col>13</xdr:col>
      <xdr:colOff>476250</xdr:colOff>
      <xdr:row>21</xdr:row>
      <xdr:rowOff>0</xdr:rowOff>
    </xdr:to>
    <xdr:graphicFrame>
      <xdr:nvGraphicFramePr>
        <xdr:cNvPr id="27" name="Chart 27"/>
        <xdr:cNvGraphicFramePr/>
      </xdr:nvGraphicFramePr>
      <xdr:xfrm>
        <a:off x="123825" y="3819525"/>
        <a:ext cx="83915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152400</xdr:colOff>
      <xdr:row>21</xdr:row>
      <xdr:rowOff>0</xdr:rowOff>
    </xdr:from>
    <xdr:to>
      <xdr:col>13</xdr:col>
      <xdr:colOff>552450</xdr:colOff>
      <xdr:row>21</xdr:row>
      <xdr:rowOff>0</xdr:rowOff>
    </xdr:to>
    <xdr:graphicFrame>
      <xdr:nvGraphicFramePr>
        <xdr:cNvPr id="28" name="Chart 28"/>
        <xdr:cNvGraphicFramePr/>
      </xdr:nvGraphicFramePr>
      <xdr:xfrm>
        <a:off x="152400" y="3819525"/>
        <a:ext cx="84391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171450</xdr:colOff>
      <xdr:row>21</xdr:row>
      <xdr:rowOff>0</xdr:rowOff>
    </xdr:from>
    <xdr:to>
      <xdr:col>13</xdr:col>
      <xdr:colOff>552450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171450" y="3819525"/>
        <a:ext cx="8420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180975</xdr:colOff>
      <xdr:row>21</xdr:row>
      <xdr:rowOff>0</xdr:rowOff>
    </xdr:from>
    <xdr:to>
      <xdr:col>13</xdr:col>
      <xdr:colOff>552450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180975" y="3819525"/>
        <a:ext cx="84105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171450</xdr:colOff>
      <xdr:row>21</xdr:row>
      <xdr:rowOff>0</xdr:rowOff>
    </xdr:from>
    <xdr:to>
      <xdr:col>13</xdr:col>
      <xdr:colOff>552450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171450" y="3819525"/>
        <a:ext cx="84201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219075</xdr:colOff>
      <xdr:row>21</xdr:row>
      <xdr:rowOff>0</xdr:rowOff>
    </xdr:from>
    <xdr:to>
      <xdr:col>13</xdr:col>
      <xdr:colOff>571500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219075" y="3819525"/>
        <a:ext cx="83915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152400</xdr:colOff>
      <xdr:row>21</xdr:row>
      <xdr:rowOff>0</xdr:rowOff>
    </xdr:from>
    <xdr:to>
      <xdr:col>13</xdr:col>
      <xdr:colOff>466725</xdr:colOff>
      <xdr:row>21</xdr:row>
      <xdr:rowOff>0</xdr:rowOff>
    </xdr:to>
    <xdr:graphicFrame>
      <xdr:nvGraphicFramePr>
        <xdr:cNvPr id="33" name="Chart 33"/>
        <xdr:cNvGraphicFramePr/>
      </xdr:nvGraphicFramePr>
      <xdr:xfrm>
        <a:off x="152400" y="3819525"/>
        <a:ext cx="83534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161925</xdr:colOff>
      <xdr:row>21</xdr:row>
      <xdr:rowOff>0</xdr:rowOff>
    </xdr:from>
    <xdr:to>
      <xdr:col>13</xdr:col>
      <xdr:colOff>581025</xdr:colOff>
      <xdr:row>21</xdr:row>
      <xdr:rowOff>0</xdr:rowOff>
    </xdr:to>
    <xdr:graphicFrame>
      <xdr:nvGraphicFramePr>
        <xdr:cNvPr id="34" name="Chart 34"/>
        <xdr:cNvGraphicFramePr/>
      </xdr:nvGraphicFramePr>
      <xdr:xfrm>
        <a:off x="161925" y="3819525"/>
        <a:ext cx="84582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180975</xdr:colOff>
      <xdr:row>21</xdr:row>
      <xdr:rowOff>0</xdr:rowOff>
    </xdr:from>
    <xdr:to>
      <xdr:col>13</xdr:col>
      <xdr:colOff>523875</xdr:colOff>
      <xdr:row>21</xdr:row>
      <xdr:rowOff>0</xdr:rowOff>
    </xdr:to>
    <xdr:graphicFrame>
      <xdr:nvGraphicFramePr>
        <xdr:cNvPr id="35" name="Chart 35"/>
        <xdr:cNvGraphicFramePr/>
      </xdr:nvGraphicFramePr>
      <xdr:xfrm>
        <a:off x="180975" y="3819525"/>
        <a:ext cx="83820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180975</xdr:colOff>
      <xdr:row>21</xdr:row>
      <xdr:rowOff>0</xdr:rowOff>
    </xdr:from>
    <xdr:to>
      <xdr:col>13</xdr:col>
      <xdr:colOff>552450</xdr:colOff>
      <xdr:row>21</xdr:row>
      <xdr:rowOff>0</xdr:rowOff>
    </xdr:to>
    <xdr:graphicFrame>
      <xdr:nvGraphicFramePr>
        <xdr:cNvPr id="36" name="Chart 36"/>
        <xdr:cNvGraphicFramePr/>
      </xdr:nvGraphicFramePr>
      <xdr:xfrm>
        <a:off x="180975" y="3819525"/>
        <a:ext cx="84105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200025</xdr:colOff>
      <xdr:row>21</xdr:row>
      <xdr:rowOff>0</xdr:rowOff>
    </xdr:from>
    <xdr:to>
      <xdr:col>13</xdr:col>
      <xdr:colOff>552450</xdr:colOff>
      <xdr:row>21</xdr:row>
      <xdr:rowOff>0</xdr:rowOff>
    </xdr:to>
    <xdr:graphicFrame>
      <xdr:nvGraphicFramePr>
        <xdr:cNvPr id="37" name="Chart 37"/>
        <xdr:cNvGraphicFramePr/>
      </xdr:nvGraphicFramePr>
      <xdr:xfrm>
        <a:off x="200025" y="3819525"/>
        <a:ext cx="83915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209550</xdr:colOff>
      <xdr:row>21</xdr:row>
      <xdr:rowOff>0</xdr:rowOff>
    </xdr:from>
    <xdr:to>
      <xdr:col>13</xdr:col>
      <xdr:colOff>581025</xdr:colOff>
      <xdr:row>21</xdr:row>
      <xdr:rowOff>0</xdr:rowOff>
    </xdr:to>
    <xdr:graphicFrame>
      <xdr:nvGraphicFramePr>
        <xdr:cNvPr id="38" name="Chart 38"/>
        <xdr:cNvGraphicFramePr/>
      </xdr:nvGraphicFramePr>
      <xdr:xfrm>
        <a:off x="209550" y="3819525"/>
        <a:ext cx="84105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219075</xdr:colOff>
      <xdr:row>21</xdr:row>
      <xdr:rowOff>0</xdr:rowOff>
    </xdr:from>
    <xdr:to>
      <xdr:col>13</xdr:col>
      <xdr:colOff>561975</xdr:colOff>
      <xdr:row>21</xdr:row>
      <xdr:rowOff>0</xdr:rowOff>
    </xdr:to>
    <xdr:graphicFrame>
      <xdr:nvGraphicFramePr>
        <xdr:cNvPr id="39" name="Chart 39"/>
        <xdr:cNvGraphicFramePr/>
      </xdr:nvGraphicFramePr>
      <xdr:xfrm>
        <a:off x="219075" y="3819525"/>
        <a:ext cx="83820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13</xdr:col>
      <xdr:colOff>476250</xdr:colOff>
      <xdr:row>37</xdr:row>
      <xdr:rowOff>0</xdr:rowOff>
    </xdr:to>
    <xdr:graphicFrame>
      <xdr:nvGraphicFramePr>
        <xdr:cNvPr id="40" name="Chart 40"/>
        <xdr:cNvGraphicFramePr/>
      </xdr:nvGraphicFramePr>
      <xdr:xfrm>
        <a:off x="123825" y="6810375"/>
        <a:ext cx="839152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152400</xdr:colOff>
      <xdr:row>37</xdr:row>
      <xdr:rowOff>0</xdr:rowOff>
    </xdr:from>
    <xdr:to>
      <xdr:col>13</xdr:col>
      <xdr:colOff>552450</xdr:colOff>
      <xdr:row>37</xdr:row>
      <xdr:rowOff>0</xdr:rowOff>
    </xdr:to>
    <xdr:graphicFrame>
      <xdr:nvGraphicFramePr>
        <xdr:cNvPr id="41" name="Chart 41"/>
        <xdr:cNvGraphicFramePr/>
      </xdr:nvGraphicFramePr>
      <xdr:xfrm>
        <a:off x="152400" y="6810375"/>
        <a:ext cx="843915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171450</xdr:colOff>
      <xdr:row>37</xdr:row>
      <xdr:rowOff>0</xdr:rowOff>
    </xdr:from>
    <xdr:to>
      <xdr:col>13</xdr:col>
      <xdr:colOff>552450</xdr:colOff>
      <xdr:row>37</xdr:row>
      <xdr:rowOff>0</xdr:rowOff>
    </xdr:to>
    <xdr:graphicFrame>
      <xdr:nvGraphicFramePr>
        <xdr:cNvPr id="42" name="Chart 42"/>
        <xdr:cNvGraphicFramePr/>
      </xdr:nvGraphicFramePr>
      <xdr:xfrm>
        <a:off x="171450" y="6810375"/>
        <a:ext cx="84201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180975</xdr:colOff>
      <xdr:row>37</xdr:row>
      <xdr:rowOff>0</xdr:rowOff>
    </xdr:from>
    <xdr:to>
      <xdr:col>13</xdr:col>
      <xdr:colOff>552450</xdr:colOff>
      <xdr:row>37</xdr:row>
      <xdr:rowOff>0</xdr:rowOff>
    </xdr:to>
    <xdr:graphicFrame>
      <xdr:nvGraphicFramePr>
        <xdr:cNvPr id="43" name="Chart 43"/>
        <xdr:cNvGraphicFramePr/>
      </xdr:nvGraphicFramePr>
      <xdr:xfrm>
        <a:off x="180975" y="6810375"/>
        <a:ext cx="84105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171450</xdr:colOff>
      <xdr:row>37</xdr:row>
      <xdr:rowOff>0</xdr:rowOff>
    </xdr:from>
    <xdr:to>
      <xdr:col>13</xdr:col>
      <xdr:colOff>552450</xdr:colOff>
      <xdr:row>37</xdr:row>
      <xdr:rowOff>0</xdr:rowOff>
    </xdr:to>
    <xdr:graphicFrame>
      <xdr:nvGraphicFramePr>
        <xdr:cNvPr id="44" name="Chart 44"/>
        <xdr:cNvGraphicFramePr/>
      </xdr:nvGraphicFramePr>
      <xdr:xfrm>
        <a:off x="171450" y="6810375"/>
        <a:ext cx="84201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219075</xdr:colOff>
      <xdr:row>37</xdr:row>
      <xdr:rowOff>0</xdr:rowOff>
    </xdr:from>
    <xdr:to>
      <xdr:col>13</xdr:col>
      <xdr:colOff>571500</xdr:colOff>
      <xdr:row>37</xdr:row>
      <xdr:rowOff>0</xdr:rowOff>
    </xdr:to>
    <xdr:graphicFrame>
      <xdr:nvGraphicFramePr>
        <xdr:cNvPr id="45" name="Chart 45"/>
        <xdr:cNvGraphicFramePr/>
      </xdr:nvGraphicFramePr>
      <xdr:xfrm>
        <a:off x="219075" y="6810375"/>
        <a:ext cx="83915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152400</xdr:colOff>
      <xdr:row>37</xdr:row>
      <xdr:rowOff>0</xdr:rowOff>
    </xdr:from>
    <xdr:to>
      <xdr:col>13</xdr:col>
      <xdr:colOff>466725</xdr:colOff>
      <xdr:row>37</xdr:row>
      <xdr:rowOff>0</xdr:rowOff>
    </xdr:to>
    <xdr:graphicFrame>
      <xdr:nvGraphicFramePr>
        <xdr:cNvPr id="46" name="Chart 46"/>
        <xdr:cNvGraphicFramePr/>
      </xdr:nvGraphicFramePr>
      <xdr:xfrm>
        <a:off x="152400" y="6810375"/>
        <a:ext cx="8353425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161925</xdr:colOff>
      <xdr:row>37</xdr:row>
      <xdr:rowOff>0</xdr:rowOff>
    </xdr:from>
    <xdr:to>
      <xdr:col>13</xdr:col>
      <xdr:colOff>581025</xdr:colOff>
      <xdr:row>37</xdr:row>
      <xdr:rowOff>0</xdr:rowOff>
    </xdr:to>
    <xdr:graphicFrame>
      <xdr:nvGraphicFramePr>
        <xdr:cNvPr id="47" name="Chart 47"/>
        <xdr:cNvGraphicFramePr/>
      </xdr:nvGraphicFramePr>
      <xdr:xfrm>
        <a:off x="161925" y="6810375"/>
        <a:ext cx="84582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180975</xdr:colOff>
      <xdr:row>37</xdr:row>
      <xdr:rowOff>0</xdr:rowOff>
    </xdr:from>
    <xdr:to>
      <xdr:col>13</xdr:col>
      <xdr:colOff>523875</xdr:colOff>
      <xdr:row>37</xdr:row>
      <xdr:rowOff>0</xdr:rowOff>
    </xdr:to>
    <xdr:graphicFrame>
      <xdr:nvGraphicFramePr>
        <xdr:cNvPr id="48" name="Chart 48"/>
        <xdr:cNvGraphicFramePr/>
      </xdr:nvGraphicFramePr>
      <xdr:xfrm>
        <a:off x="180975" y="6810375"/>
        <a:ext cx="83820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180975</xdr:colOff>
      <xdr:row>37</xdr:row>
      <xdr:rowOff>0</xdr:rowOff>
    </xdr:from>
    <xdr:to>
      <xdr:col>13</xdr:col>
      <xdr:colOff>552450</xdr:colOff>
      <xdr:row>37</xdr:row>
      <xdr:rowOff>0</xdr:rowOff>
    </xdr:to>
    <xdr:graphicFrame>
      <xdr:nvGraphicFramePr>
        <xdr:cNvPr id="49" name="Chart 49"/>
        <xdr:cNvGraphicFramePr/>
      </xdr:nvGraphicFramePr>
      <xdr:xfrm>
        <a:off x="180975" y="6810375"/>
        <a:ext cx="841057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200025</xdr:colOff>
      <xdr:row>37</xdr:row>
      <xdr:rowOff>0</xdr:rowOff>
    </xdr:from>
    <xdr:to>
      <xdr:col>13</xdr:col>
      <xdr:colOff>552450</xdr:colOff>
      <xdr:row>37</xdr:row>
      <xdr:rowOff>0</xdr:rowOff>
    </xdr:to>
    <xdr:graphicFrame>
      <xdr:nvGraphicFramePr>
        <xdr:cNvPr id="50" name="Chart 50"/>
        <xdr:cNvGraphicFramePr/>
      </xdr:nvGraphicFramePr>
      <xdr:xfrm>
        <a:off x="200025" y="6810375"/>
        <a:ext cx="839152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209550</xdr:colOff>
      <xdr:row>37</xdr:row>
      <xdr:rowOff>0</xdr:rowOff>
    </xdr:from>
    <xdr:to>
      <xdr:col>13</xdr:col>
      <xdr:colOff>581025</xdr:colOff>
      <xdr:row>37</xdr:row>
      <xdr:rowOff>0</xdr:rowOff>
    </xdr:to>
    <xdr:graphicFrame>
      <xdr:nvGraphicFramePr>
        <xdr:cNvPr id="51" name="Chart 51"/>
        <xdr:cNvGraphicFramePr/>
      </xdr:nvGraphicFramePr>
      <xdr:xfrm>
        <a:off x="209550" y="6810375"/>
        <a:ext cx="8410575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219075</xdr:colOff>
      <xdr:row>37</xdr:row>
      <xdr:rowOff>0</xdr:rowOff>
    </xdr:from>
    <xdr:to>
      <xdr:col>13</xdr:col>
      <xdr:colOff>561975</xdr:colOff>
      <xdr:row>37</xdr:row>
      <xdr:rowOff>0</xdr:rowOff>
    </xdr:to>
    <xdr:graphicFrame>
      <xdr:nvGraphicFramePr>
        <xdr:cNvPr id="52" name="Chart 52"/>
        <xdr:cNvGraphicFramePr/>
      </xdr:nvGraphicFramePr>
      <xdr:xfrm>
        <a:off x="219075" y="6810375"/>
        <a:ext cx="83820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oligeome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BBZ7_geome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mérettábla"/>
      <sheetName val="hajótest"/>
      <sheetName val="vízvonalak"/>
      <sheetName val="bordák"/>
      <sheetName val="hosszmetszetek"/>
      <sheetName val="jellemzők"/>
    </sheetNames>
    <sheetDataSet>
      <sheetData sheetId="6">
        <row r="317">
          <cell r="B317">
            <v>0.2813</v>
          </cell>
          <cell r="C317">
            <v>0.25285964000000005</v>
          </cell>
          <cell r="D317">
            <v>-0.08051</v>
          </cell>
          <cell r="E317">
            <v>0.19136466690476975</v>
          </cell>
          <cell r="F317">
            <v>-0.009572058237526547</v>
          </cell>
          <cell r="G317">
            <v>0.536852780389389</v>
          </cell>
          <cell r="H317">
            <v>2.2499051670212213</v>
          </cell>
        </row>
        <row r="318">
          <cell r="B318">
            <v>0.25</v>
          </cell>
          <cell r="C318">
            <v>0.20245499999999997</v>
          </cell>
          <cell r="D318">
            <v>-0.08097</v>
          </cell>
          <cell r="E318">
            <v>0.17282944851942408</v>
          </cell>
          <cell r="F318">
            <v>0.008235805487639225</v>
          </cell>
          <cell r="G318">
            <v>0.5856619298115632</v>
          </cell>
          <cell r="H318">
            <v>2.6506781497493965</v>
          </cell>
        </row>
        <row r="319">
          <cell r="B319">
            <v>0.2188</v>
          </cell>
          <cell r="C319">
            <v>0.15408635</v>
          </cell>
          <cell r="D319">
            <v>-0.05872</v>
          </cell>
          <cell r="E319">
            <v>0.15337754810124324</v>
          </cell>
          <cell r="F319">
            <v>0.03195578193655697</v>
          </cell>
          <cell r="G319">
            <v>0.6390792342012774</v>
          </cell>
          <cell r="H319">
            <v>2.9065548706397806</v>
          </cell>
        </row>
        <row r="320">
          <cell r="B320">
            <v>0.1875</v>
          </cell>
          <cell r="C320">
            <v>0.10956044000000001</v>
          </cell>
          <cell r="D320">
            <v>-0.01644</v>
          </cell>
          <cell r="E320">
            <v>0.13282048086955472</v>
          </cell>
          <cell r="F320">
            <v>0.05958309404379901</v>
          </cell>
          <cell r="G320">
            <v>0.6799157645321614</v>
          </cell>
          <cell r="H320">
            <v>3.3380422655122595</v>
          </cell>
        </row>
        <row r="321">
          <cell r="B321">
            <v>0.1563</v>
          </cell>
          <cell r="C321">
            <v>0.07121158</v>
          </cell>
          <cell r="D321">
            <v>0.04386</v>
          </cell>
          <cell r="E321">
            <v>0.11095589387961903</v>
          </cell>
          <cell r="F321">
            <v>0.08589467050162347</v>
          </cell>
          <cell r="G321">
            <v>0.6496323282460521</v>
          </cell>
          <cell r="H321">
            <v>3.655645210958218</v>
          </cell>
        </row>
        <row r="322">
          <cell r="B322">
            <v>0.125</v>
          </cell>
          <cell r="C322">
            <v>0.041250440000000006</v>
          </cell>
          <cell r="D322">
            <v>0.09861</v>
          </cell>
          <cell r="E322">
            <v>0.08766689924907464</v>
          </cell>
          <cell r="F322">
            <v>0.09958560442021948</v>
          </cell>
          <cell r="G322">
            <v>0.48838989759769824</v>
          </cell>
          <cell r="H322">
            <v>4.328497104241312</v>
          </cell>
        </row>
        <row r="323">
          <cell r="B323">
            <v>0.0938</v>
          </cell>
          <cell r="C323">
            <v>0.020721580000000003</v>
          </cell>
          <cell r="D323">
            <v>0.14904</v>
          </cell>
          <cell r="E323">
            <v>0.06251034971174979</v>
          </cell>
          <cell r="F323">
            <v>0.08146089246090304</v>
          </cell>
          <cell r="G323">
            <v>0.26085429838747815</v>
          </cell>
          <cell r="H323">
            <v>5.397925160741409</v>
          </cell>
        </row>
        <row r="324">
          <cell r="B324">
            <v>0.0625</v>
          </cell>
          <cell r="C324">
            <v>0.009377719999999999</v>
          </cell>
          <cell r="D324">
            <v>0.12275</v>
          </cell>
          <cell r="E324">
            <v>0.03638223610003284</v>
          </cell>
          <cell r="F324">
            <v>0.009517196077511388</v>
          </cell>
          <cell r="G324">
            <v>0.06624023996451163</v>
          </cell>
          <cell r="H324">
            <v>7.352176341970117</v>
          </cell>
        </row>
        <row r="325">
          <cell r="B325">
            <v>0</v>
          </cell>
          <cell r="C325">
            <v>0</v>
          </cell>
          <cell r="D325">
            <v>-0.05789</v>
          </cell>
          <cell r="E325">
            <v>0</v>
          </cell>
          <cell r="F325">
            <v>-0.05789</v>
          </cell>
          <cell r="G325">
            <v>0</v>
          </cell>
        </row>
        <row r="327">
          <cell r="B327">
            <v>0.2813</v>
          </cell>
          <cell r="C327">
            <v>0.01668040180401804</v>
          </cell>
          <cell r="D327">
            <v>0.002425158431952217</v>
          </cell>
          <cell r="E327">
            <v>-0.0006104268860188601</v>
          </cell>
          <cell r="F327">
            <v>0.4549993388950601</v>
          </cell>
          <cell r="G327">
            <v>0.622879614769797</v>
          </cell>
          <cell r="H327">
            <v>0.7304771710392515</v>
          </cell>
          <cell r="I327">
            <v>2.3795540000000006</v>
          </cell>
        </row>
        <row r="328">
          <cell r="B328">
            <v>0.25</v>
          </cell>
          <cell r="C328">
            <v>0.016364698646986472</v>
          </cell>
          <cell r="D328">
            <v>0.0023372462739895536</v>
          </cell>
          <cell r="E328">
            <v>-0.000602295295202952</v>
          </cell>
          <cell r="F328">
            <v>0.41174496644295294</v>
          </cell>
          <cell r="G328">
            <v>0.5785234899328859</v>
          </cell>
          <cell r="H328">
            <v>0.7117169373549882</v>
          </cell>
          <cell r="I328">
            <v>2.20694</v>
          </cell>
        </row>
        <row r="329">
          <cell r="B329">
            <v>0.2188</v>
          </cell>
          <cell r="C329">
            <v>0.015318368183681836</v>
          </cell>
          <cell r="D329">
            <v>0.0019765123665729744</v>
          </cell>
          <cell r="E329">
            <v>-0.0004088611726117261</v>
          </cell>
          <cell r="F329">
            <v>0.3629322691904306</v>
          </cell>
          <cell r="G329">
            <v>0.5264439718605297</v>
          </cell>
          <cell r="H329">
            <v>0.6894034096501762</v>
          </cell>
          <cell r="I329">
            <v>2.016217</v>
          </cell>
        </row>
        <row r="330">
          <cell r="B330">
            <v>0.1875</v>
          </cell>
          <cell r="C330">
            <v>0.01382328823288233</v>
          </cell>
          <cell r="D330">
            <v>0.0016361120306755271</v>
          </cell>
          <cell r="E330">
            <v>-0.00010329766297662977</v>
          </cell>
          <cell r="F330">
            <v>0.31320880503144655</v>
          </cell>
          <cell r="G330">
            <v>0.4689496855345912</v>
          </cell>
          <cell r="H330">
            <v>0.6678942639110551</v>
          </cell>
          <cell r="I330">
            <v>1.791568</v>
          </cell>
        </row>
        <row r="331">
          <cell r="B331">
            <v>0.1563</v>
          </cell>
          <cell r="C331">
            <v>0.011333743337433375</v>
          </cell>
          <cell r="D331">
            <v>0.0011760613638647508</v>
          </cell>
          <cell r="E331">
            <v>0.00022595362853628537</v>
          </cell>
          <cell r="F331">
            <v>0.27249301276223187</v>
          </cell>
          <cell r="G331">
            <v>0.41618682021753045</v>
          </cell>
          <cell r="H331">
            <v>0.6547372466523725</v>
          </cell>
          <cell r="I331">
            <v>1.495658</v>
          </cell>
        </row>
        <row r="332">
          <cell r="B332">
            <v>0.125</v>
          </cell>
          <cell r="C332">
            <v>0.008321033210332103</v>
          </cell>
          <cell r="D332">
            <v>0.0008150432487238659</v>
          </cell>
          <cell r="E332">
            <v>0.0003729714022140221</v>
          </cell>
          <cell r="F332">
            <v>0.25424</v>
          </cell>
          <cell r="G332">
            <v>0.3843254237288136</v>
          </cell>
          <cell r="H332">
            <v>0.6615227208580299</v>
          </cell>
          <cell r="I332">
            <v>1.1535480000000002</v>
          </cell>
        </row>
        <row r="333">
          <cell r="B333">
            <v>0.0938</v>
          </cell>
          <cell r="C333">
            <v>0.0051459614596145965</v>
          </cell>
          <cell r="D333">
            <v>0.0005151008202769745</v>
          </cell>
          <cell r="E333">
            <v>0.00034861549815498155</v>
          </cell>
          <cell r="F333">
            <v>0.26848853516983456</v>
          </cell>
          <cell r="G333">
            <v>0.38037467361435756</v>
          </cell>
          <cell r="H333">
            <v>0.7058528177458033</v>
          </cell>
          <cell r="I333">
            <v>0.791638</v>
          </cell>
        </row>
        <row r="334">
          <cell r="B334">
            <v>0.0625</v>
          </cell>
          <cell r="C334">
            <v>0.002295612956129561</v>
          </cell>
          <cell r="D334">
            <v>0.00031963911554573865</v>
          </cell>
          <cell r="E334">
            <v>0.00012808476834768345</v>
          </cell>
          <cell r="F334">
            <v>0.4486947368421052</v>
          </cell>
          <cell r="G334">
            <v>0.5461052631578948</v>
          </cell>
          <cell r="H334">
            <v>0.8216268311488047</v>
          </cell>
          <cell r="I334">
            <v>0.4506321799999999</v>
          </cell>
        </row>
        <row r="335">
          <cell r="B335">
            <v>0</v>
          </cell>
          <cell r="C335">
            <v>0.0012853628536285363</v>
          </cell>
          <cell r="D335">
            <v>0.002425158431952217</v>
          </cell>
          <cell r="E335">
            <v>-3.3822570725707256E-05</v>
          </cell>
          <cell r="F335">
            <v>0.95</v>
          </cell>
          <cell r="G335">
            <v>1</v>
          </cell>
          <cell r="H335">
            <v>0.95</v>
          </cell>
          <cell r="I335">
            <v>0.1254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mérettábla"/>
      <sheetName val="hajótest"/>
      <sheetName val="vízvonalak"/>
      <sheetName val="bordák"/>
      <sheetName val="hosszmetszetek"/>
      <sheetName val="jellemzők"/>
    </sheetNames>
    <sheetDataSet>
      <sheetData sheetId="4">
        <row r="313">
          <cell r="A313" t="str">
            <v>WL10</v>
          </cell>
          <cell r="C313">
            <v>0.421</v>
          </cell>
        </row>
        <row r="314">
          <cell r="A314" t="str">
            <v>WL9</v>
          </cell>
          <cell r="C314">
            <v>0.343</v>
          </cell>
        </row>
        <row r="315">
          <cell r="A315" t="str">
            <v>WL8</v>
          </cell>
          <cell r="C315">
            <v>0.226</v>
          </cell>
        </row>
        <row r="316">
          <cell r="A316" t="str">
            <v>WL7</v>
          </cell>
          <cell r="C316">
            <v>0.066</v>
          </cell>
        </row>
        <row r="317">
          <cell r="A317" t="str">
            <v>CWL</v>
          </cell>
          <cell r="C317">
            <v>0.03</v>
          </cell>
        </row>
        <row r="318">
          <cell r="A318" t="str">
            <v>WL6</v>
          </cell>
          <cell r="C318">
            <v>0</v>
          </cell>
        </row>
        <row r="319">
          <cell r="A319" t="str">
            <v>WL5</v>
          </cell>
          <cell r="C319">
            <v>0</v>
          </cell>
        </row>
        <row r="320">
          <cell r="A320" t="str">
            <v>WL4</v>
          </cell>
          <cell r="C320">
            <v>0</v>
          </cell>
        </row>
        <row r="321">
          <cell r="A321" t="str">
            <v>WL3</v>
          </cell>
          <cell r="C321">
            <v>0</v>
          </cell>
        </row>
        <row r="322">
          <cell r="A322" t="str">
            <v>WL2</v>
          </cell>
          <cell r="C322">
            <v>0</v>
          </cell>
        </row>
        <row r="323">
          <cell r="A323" t="str">
            <v>WL1</v>
          </cell>
          <cell r="C323">
            <v>0</v>
          </cell>
        </row>
        <row r="324">
          <cell r="A324" t="str">
            <v>WL0</v>
          </cell>
          <cell r="C3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7109375" style="0" customWidth="1"/>
    <col min="2" max="2" width="32.421875" style="0" customWidth="1"/>
  </cols>
  <sheetData>
    <row r="1" spans="1:2" ht="60" customHeight="1">
      <c r="A1" s="74" t="s">
        <v>28</v>
      </c>
      <c r="B1" s="13"/>
    </row>
    <row r="2" spans="1:2" ht="12.75" customHeight="1">
      <c r="A2" s="74"/>
      <c r="B2" s="13"/>
    </row>
    <row r="3" spans="1:2" ht="12.75" customHeight="1">
      <c r="A3" s="74"/>
      <c r="B3" s="13"/>
    </row>
    <row r="4" spans="1:2" ht="408.75" customHeight="1">
      <c r="A4" s="14"/>
      <c r="B4" s="15" t="s">
        <v>27</v>
      </c>
    </row>
    <row r="10" ht="12.75" customHeight="1"/>
  </sheetData>
  <printOptions/>
  <pageMargins left="0.7874015748031497" right="0.7874015748031497" top="0.5905511811023623" bottom="0.984251968503937" header="0.5118110236220472" footer="0.5118110236220472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F20" sqref="F20"/>
    </sheetView>
  </sheetViews>
  <sheetFormatPr defaultColWidth="9.140625" defaultRowHeight="12.75"/>
  <cols>
    <col min="1" max="2" width="3.7109375" style="1" customWidth="1"/>
    <col min="3" max="3" width="5.7109375" style="1" customWidth="1"/>
    <col min="4" max="4" width="5.140625" style="1" customWidth="1"/>
    <col min="5" max="5" width="6.57421875" style="5" customWidth="1"/>
    <col min="6" max="16" width="5.7109375" style="1" customWidth="1"/>
    <col min="17" max="17" width="8.57421875" style="1" customWidth="1"/>
    <col min="18" max="18" width="8.421875" style="1" customWidth="1"/>
    <col min="19" max="21" width="8.7109375" style="1" customWidth="1"/>
    <col min="22" max="16384" width="8.8515625" style="1" customWidth="1"/>
  </cols>
  <sheetData>
    <row r="1" spans="1:18" ht="26.25" customHeight="1">
      <c r="A1" s="2" t="s">
        <v>28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 t="s">
        <v>0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2.75">
      <c r="A3" s="120" t="s">
        <v>29</v>
      </c>
      <c r="B3" s="121"/>
      <c r="C3" s="31" t="s">
        <v>30</v>
      </c>
      <c r="D3" s="31"/>
      <c r="E3" s="32"/>
      <c r="F3" s="108">
        <v>0</v>
      </c>
      <c r="G3" s="108">
        <v>1</v>
      </c>
      <c r="H3" s="108">
        <v>2</v>
      </c>
      <c r="I3" s="108">
        <v>3</v>
      </c>
      <c r="J3" s="108">
        <v>4</v>
      </c>
      <c r="K3" s="108">
        <v>5</v>
      </c>
      <c r="L3" s="108">
        <v>6</v>
      </c>
      <c r="M3" s="108">
        <v>7</v>
      </c>
      <c r="N3" s="108">
        <v>8</v>
      </c>
      <c r="O3" s="108">
        <v>9</v>
      </c>
      <c r="P3" s="108">
        <v>10</v>
      </c>
      <c r="Q3" s="9" t="s">
        <v>31</v>
      </c>
      <c r="R3" s="9" t="s">
        <v>32</v>
      </c>
      <c r="S3" s="9" t="s">
        <v>1</v>
      </c>
      <c r="T3" s="9" t="s">
        <v>2</v>
      </c>
      <c r="U3" s="9" t="s">
        <v>3</v>
      </c>
    </row>
    <row r="4" spans="1:21" ht="12.75">
      <c r="A4" s="122"/>
      <c r="B4" s="123"/>
      <c r="C4" s="48" t="s">
        <v>5</v>
      </c>
      <c r="D4" s="48" t="s">
        <v>6</v>
      </c>
      <c r="E4" s="8" t="s">
        <v>7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49" t="s">
        <v>33</v>
      </c>
      <c r="R4" s="49" t="s">
        <v>33</v>
      </c>
      <c r="S4" s="49" t="s">
        <v>8</v>
      </c>
      <c r="T4" s="49" t="s">
        <v>8</v>
      </c>
      <c r="U4" s="49" t="s">
        <v>8</v>
      </c>
    </row>
    <row r="5" spans="1:21" ht="12.75">
      <c r="A5" s="118" t="s">
        <v>4</v>
      </c>
      <c r="B5" s="48" t="s">
        <v>5</v>
      </c>
      <c r="C5" s="10"/>
      <c r="D5" s="25" t="s">
        <v>20</v>
      </c>
      <c r="E5" s="8" t="s">
        <v>20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2"/>
      <c r="R5" s="12"/>
      <c r="S5" s="27"/>
      <c r="T5" s="27"/>
      <c r="U5" s="40"/>
    </row>
    <row r="6" spans="1:21" ht="12.75">
      <c r="A6" s="119"/>
      <c r="B6" s="48" t="s">
        <v>6</v>
      </c>
      <c r="C6" s="10" t="s">
        <v>20</v>
      </c>
      <c r="D6" s="25"/>
      <c r="E6" s="8" t="s">
        <v>20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"/>
      <c r="R6" s="6"/>
      <c r="S6" s="37"/>
      <c r="T6" s="37"/>
      <c r="U6" s="37"/>
    </row>
    <row r="7" spans="1:21" ht="12.75">
      <c r="A7" s="119"/>
      <c r="B7" s="48" t="s">
        <v>7</v>
      </c>
      <c r="C7" s="10" t="s">
        <v>20</v>
      </c>
      <c r="D7" s="25" t="s">
        <v>20</v>
      </c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6"/>
      <c r="R7" s="6"/>
      <c r="S7" s="27"/>
      <c r="T7" s="27"/>
      <c r="U7" s="39"/>
    </row>
    <row r="8" spans="1:21" ht="12.75">
      <c r="A8" s="112" t="s">
        <v>9</v>
      </c>
      <c r="B8" s="113"/>
      <c r="C8" s="10"/>
      <c r="D8" s="25"/>
      <c r="E8" s="26" t="s">
        <v>40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7"/>
      <c r="R8" s="27"/>
      <c r="S8" s="27"/>
      <c r="T8" s="27"/>
      <c r="U8" s="27"/>
    </row>
    <row r="9" spans="1:21" ht="12.75">
      <c r="A9" s="112" t="s">
        <v>10</v>
      </c>
      <c r="B9" s="113"/>
      <c r="C9" s="10"/>
      <c r="D9" s="25"/>
      <c r="E9" s="26" t="s">
        <v>39</v>
      </c>
      <c r="F9" s="34"/>
      <c r="G9" s="25"/>
      <c r="H9" s="25"/>
      <c r="I9" s="25"/>
      <c r="J9" s="25"/>
      <c r="K9" s="25"/>
      <c r="L9" s="25"/>
      <c r="M9" s="25"/>
      <c r="N9" s="25"/>
      <c r="O9" s="25"/>
      <c r="P9" s="25"/>
      <c r="Q9" s="27"/>
      <c r="R9" s="27"/>
      <c r="S9" s="27"/>
      <c r="T9" s="27"/>
      <c r="U9" s="38"/>
    </row>
    <row r="10" spans="1:21" ht="12.75">
      <c r="A10" s="112" t="s">
        <v>11</v>
      </c>
      <c r="B10" s="113"/>
      <c r="C10" s="10"/>
      <c r="D10" s="25"/>
      <c r="E10" s="26" t="s">
        <v>38</v>
      </c>
      <c r="F10" s="3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7"/>
      <c r="R10" s="27"/>
      <c r="S10" s="27"/>
      <c r="T10" s="27"/>
      <c r="U10" s="38"/>
    </row>
    <row r="11" spans="1:21" ht="12.75">
      <c r="A11" s="112" t="s">
        <v>12</v>
      </c>
      <c r="B11" s="113"/>
      <c r="C11" s="10"/>
      <c r="D11" s="25"/>
      <c r="E11" s="26" t="s">
        <v>37</v>
      </c>
      <c r="F11" s="3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7"/>
      <c r="R11" s="27"/>
      <c r="S11" s="27"/>
      <c r="T11" s="27"/>
      <c r="U11" s="38"/>
    </row>
    <row r="12" spans="1:21" ht="12.75">
      <c r="A12" s="116" t="s">
        <v>13</v>
      </c>
      <c r="B12" s="117"/>
      <c r="C12" s="35"/>
      <c r="D12" s="28"/>
      <c r="E12" s="36" t="s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29"/>
      <c r="S12" s="29"/>
      <c r="T12" s="29"/>
      <c r="U12" s="41"/>
    </row>
    <row r="13" spans="1:21" ht="12.75">
      <c r="A13" s="112" t="s">
        <v>14</v>
      </c>
      <c r="B13" s="113"/>
      <c r="C13" s="10"/>
      <c r="D13" s="25"/>
      <c r="E13" s="26" t="s">
        <v>41</v>
      </c>
      <c r="F13" s="8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7"/>
      <c r="R13" s="27"/>
      <c r="S13" s="27"/>
      <c r="T13" s="27"/>
      <c r="U13" s="38"/>
    </row>
    <row r="14" spans="1:21" ht="12.75">
      <c r="A14" s="112" t="s">
        <v>15</v>
      </c>
      <c r="B14" s="113"/>
      <c r="C14" s="10"/>
      <c r="D14" s="25"/>
      <c r="E14" s="26" t="s">
        <v>42</v>
      </c>
      <c r="F14" s="8"/>
      <c r="G14" s="25"/>
      <c r="H14" s="25"/>
      <c r="I14" s="25"/>
      <c r="J14" s="25"/>
      <c r="K14" s="25"/>
      <c r="L14" s="25"/>
      <c r="M14" s="25"/>
      <c r="N14" s="25"/>
      <c r="O14" s="30"/>
      <c r="P14" s="25"/>
      <c r="Q14" s="27"/>
      <c r="R14" s="27"/>
      <c r="S14" s="27"/>
      <c r="T14" s="38"/>
      <c r="U14" s="38"/>
    </row>
    <row r="15" spans="1:21" ht="12.75">
      <c r="A15" s="112" t="s">
        <v>16</v>
      </c>
      <c r="B15" s="113"/>
      <c r="C15" s="10"/>
      <c r="D15" s="25"/>
      <c r="E15" s="26" t="s">
        <v>43</v>
      </c>
      <c r="F15" s="8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7"/>
      <c r="R15" s="27"/>
      <c r="S15" s="38"/>
      <c r="T15" s="38"/>
      <c r="U15" s="38"/>
    </row>
    <row r="16" spans="1:21" ht="12.75">
      <c r="A16" s="112" t="s">
        <v>17</v>
      </c>
      <c r="B16" s="113"/>
      <c r="C16" s="10"/>
      <c r="D16" s="25"/>
      <c r="E16" s="26">
        <v>0.5</v>
      </c>
      <c r="F16" s="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7"/>
      <c r="R16" s="27"/>
      <c r="S16" s="38"/>
      <c r="T16" s="38"/>
      <c r="U16" s="38"/>
    </row>
    <row r="17" spans="1:21" ht="12.75">
      <c r="A17" s="112" t="s">
        <v>18</v>
      </c>
      <c r="B17" s="113"/>
      <c r="C17" s="10"/>
      <c r="D17" s="25"/>
      <c r="E17" s="26" t="s">
        <v>44</v>
      </c>
      <c r="F17" s="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7"/>
      <c r="R17" s="27"/>
      <c r="S17" s="38"/>
      <c r="T17" s="38"/>
      <c r="U17" s="39"/>
    </row>
    <row r="18" spans="1:21" ht="12.75">
      <c r="A18" s="112" t="s">
        <v>19</v>
      </c>
      <c r="B18" s="113"/>
      <c r="C18" s="10"/>
      <c r="D18" s="25"/>
      <c r="E18" s="26" t="s">
        <v>45</v>
      </c>
      <c r="F18" s="8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7"/>
      <c r="R18" s="27"/>
      <c r="S18" s="38"/>
      <c r="T18" s="39"/>
      <c r="U18" s="39"/>
    </row>
    <row r="19" spans="1:21" ht="12.75">
      <c r="A19" s="114" t="s">
        <v>34</v>
      </c>
      <c r="B19" s="115"/>
      <c r="C19" s="10"/>
      <c r="D19" s="25"/>
      <c r="E19" s="43">
        <v>0</v>
      </c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6"/>
      <c r="R19" s="6"/>
      <c r="S19" s="39"/>
      <c r="T19" s="39"/>
      <c r="U19" s="39"/>
    </row>
    <row r="20" spans="1:21" ht="12.75">
      <c r="A20" s="110" t="s">
        <v>46</v>
      </c>
      <c r="B20" s="48" t="s">
        <v>35</v>
      </c>
      <c r="C20" s="10"/>
      <c r="D20" s="42"/>
      <c r="E20" s="26"/>
      <c r="F20" s="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1"/>
      <c r="R20" s="6"/>
      <c r="S20" s="16"/>
      <c r="T20" s="17"/>
      <c r="U20" s="17"/>
    </row>
    <row r="21" spans="1:21" ht="12.75">
      <c r="A21" s="111"/>
      <c r="B21" s="48" t="s">
        <v>36</v>
      </c>
      <c r="C21" s="10"/>
      <c r="D21" s="42"/>
      <c r="E21" s="26"/>
      <c r="F21" s="8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1"/>
      <c r="R21" s="6"/>
      <c r="S21" s="18"/>
      <c r="T21" s="19"/>
      <c r="U21" s="19"/>
    </row>
    <row r="22" spans="1:21" ht="12.75">
      <c r="A22" s="47" t="s">
        <v>1</v>
      </c>
      <c r="B22" s="20"/>
      <c r="C22" s="10"/>
      <c r="D22" s="42"/>
      <c r="E22" s="124"/>
      <c r="F22" s="33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1"/>
      <c r="R22" s="6"/>
      <c r="S22" s="18"/>
      <c r="T22" s="19"/>
      <c r="U22" s="19"/>
    </row>
    <row r="23" spans="1:21" ht="12.75">
      <c r="A23" s="47" t="s">
        <v>2</v>
      </c>
      <c r="B23" s="20"/>
      <c r="C23" s="10"/>
      <c r="D23" s="42"/>
      <c r="E23" s="26"/>
      <c r="F23" s="8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1"/>
      <c r="R23" s="6"/>
      <c r="S23" s="18"/>
      <c r="T23" s="19"/>
      <c r="U23" s="19"/>
    </row>
    <row r="24" spans="1:21" ht="12.75">
      <c r="A24" s="47" t="s">
        <v>3</v>
      </c>
      <c r="B24" s="20"/>
      <c r="C24" s="10"/>
      <c r="D24" s="42"/>
      <c r="E24" s="25"/>
      <c r="F24" s="8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1"/>
      <c r="R24" s="6"/>
      <c r="S24" s="18"/>
      <c r="T24" s="19"/>
      <c r="U24" s="19"/>
    </row>
  </sheetData>
  <mergeCells count="26">
    <mergeCell ref="J3:J4"/>
    <mergeCell ref="K3:K4"/>
    <mergeCell ref="A5:A7"/>
    <mergeCell ref="F3:F4"/>
    <mergeCell ref="G3:G4"/>
    <mergeCell ref="A3:B4"/>
    <mergeCell ref="A12:B12"/>
    <mergeCell ref="A13:B13"/>
    <mergeCell ref="N3:N4"/>
    <mergeCell ref="O3:O4"/>
    <mergeCell ref="H3:H4"/>
    <mergeCell ref="I3:I4"/>
    <mergeCell ref="A8:B8"/>
    <mergeCell ref="A9:B9"/>
    <mergeCell ref="L3:L4"/>
    <mergeCell ref="M3:M4"/>
    <mergeCell ref="P3:P4"/>
    <mergeCell ref="A20:A21"/>
    <mergeCell ref="A18:B18"/>
    <mergeCell ref="A19:B19"/>
    <mergeCell ref="A14:B14"/>
    <mergeCell ref="A15:B15"/>
    <mergeCell ref="A16:B16"/>
    <mergeCell ref="A17:B17"/>
    <mergeCell ref="A10:B10"/>
    <mergeCell ref="A11:B11"/>
  </mergeCells>
  <printOptions/>
  <pageMargins left="0.7874015748031497" right="0.7874015748031497" top="0.5905511811023623" bottom="0.984251968503937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65">
      <selection activeCell="A33" sqref="A33"/>
    </sheetView>
  </sheetViews>
  <sheetFormatPr defaultColWidth="9.140625" defaultRowHeight="12.75"/>
  <cols>
    <col min="1" max="1" width="18.00390625" style="0" customWidth="1"/>
    <col min="2" max="2" width="18.28125" style="0" customWidth="1"/>
    <col min="3" max="3" width="12.7109375" style="0" customWidth="1"/>
    <col min="4" max="4" width="11.7109375" style="0" customWidth="1"/>
    <col min="5" max="5" width="11.8515625" style="0" customWidth="1"/>
    <col min="6" max="6" width="11.7109375" style="0" customWidth="1"/>
    <col min="7" max="9" width="11.8515625" style="0" customWidth="1"/>
  </cols>
  <sheetData>
    <row r="1" ht="12.75">
      <c r="A1" s="65" t="s">
        <v>97</v>
      </c>
    </row>
    <row r="2" spans="1:9" ht="12.75">
      <c r="A2" s="13" t="s">
        <v>78</v>
      </c>
      <c r="B2" s="13"/>
      <c r="C2" s="63" t="s">
        <v>80</v>
      </c>
      <c r="D2" s="13" t="s">
        <v>54</v>
      </c>
      <c r="E2" s="13"/>
      <c r="F2" s="13"/>
      <c r="G2" s="13" t="s">
        <v>55</v>
      </c>
      <c r="H2" s="13"/>
      <c r="I2" s="13"/>
    </row>
    <row r="3" spans="3:9" ht="15.75">
      <c r="C3" s="63" t="s">
        <v>81</v>
      </c>
      <c r="D3" s="63" t="s">
        <v>82</v>
      </c>
      <c r="E3" s="63" t="s">
        <v>83</v>
      </c>
      <c r="F3" s="63" t="s">
        <v>84</v>
      </c>
      <c r="G3" s="63" t="s">
        <v>87</v>
      </c>
      <c r="H3" s="63" t="s">
        <v>88</v>
      </c>
      <c r="I3" s="63" t="s">
        <v>85</v>
      </c>
    </row>
    <row r="4" spans="1:9" ht="12.75">
      <c r="A4" s="125" t="s">
        <v>109</v>
      </c>
      <c r="C4" s="126">
        <v>36</v>
      </c>
      <c r="D4" s="125">
        <v>1</v>
      </c>
      <c r="E4" s="125">
        <v>0</v>
      </c>
      <c r="F4" s="125">
        <v>-3.5</v>
      </c>
      <c r="G4">
        <f>C4*D4</f>
        <v>36</v>
      </c>
      <c r="H4">
        <f>C4*E4</f>
        <v>0</v>
      </c>
      <c r="I4">
        <f>C4*F4</f>
        <v>-126</v>
      </c>
    </row>
    <row r="5" spans="1:9" ht="12.75">
      <c r="A5" s="125" t="s">
        <v>110</v>
      </c>
      <c r="C5" s="126">
        <v>20</v>
      </c>
      <c r="D5" s="125">
        <v>1.1</v>
      </c>
      <c r="E5" s="125">
        <v>0</v>
      </c>
      <c r="F5" s="125">
        <v>-3.15</v>
      </c>
      <c r="G5">
        <f aca="true" t="shared" si="0" ref="G5:G22">C5*D5</f>
        <v>22</v>
      </c>
      <c r="H5">
        <f aca="true" t="shared" si="1" ref="H5:H22">C5*E5</f>
        <v>0</v>
      </c>
      <c r="I5">
        <f aca="true" t="shared" si="2" ref="I5:I22">C5*F5</f>
        <v>-63</v>
      </c>
    </row>
    <row r="6" spans="1:9" ht="12.75">
      <c r="A6" s="125" t="s">
        <v>111</v>
      </c>
      <c r="C6" s="126">
        <v>25</v>
      </c>
      <c r="D6" s="125">
        <v>1.05</v>
      </c>
      <c r="E6" s="125">
        <v>0</v>
      </c>
      <c r="F6" s="125">
        <v>-2.8</v>
      </c>
      <c r="G6">
        <f t="shared" si="0"/>
        <v>26.25</v>
      </c>
      <c r="H6">
        <f t="shared" si="1"/>
        <v>0</v>
      </c>
      <c r="I6">
        <f t="shared" si="2"/>
        <v>-70</v>
      </c>
    </row>
    <row r="7" spans="1:9" ht="12.75">
      <c r="A7" s="125" t="s">
        <v>112</v>
      </c>
      <c r="C7" s="126">
        <v>26</v>
      </c>
      <c r="D7" s="125">
        <v>0.95</v>
      </c>
      <c r="E7" s="125">
        <v>0</v>
      </c>
      <c r="F7" s="125">
        <v>-2.45</v>
      </c>
      <c r="G7">
        <f t="shared" si="0"/>
        <v>24.7</v>
      </c>
      <c r="H7">
        <f t="shared" si="1"/>
        <v>0</v>
      </c>
      <c r="I7">
        <f t="shared" si="2"/>
        <v>-63.7</v>
      </c>
    </row>
    <row r="8" spans="1:9" ht="12.75">
      <c r="A8" s="125" t="s">
        <v>113</v>
      </c>
      <c r="C8" s="126">
        <v>30</v>
      </c>
      <c r="D8" s="125">
        <v>0.9</v>
      </c>
      <c r="E8" s="125">
        <v>0</v>
      </c>
      <c r="F8" s="125">
        <v>-2.1</v>
      </c>
      <c r="G8">
        <f t="shared" si="0"/>
        <v>27</v>
      </c>
      <c r="H8">
        <f t="shared" si="1"/>
        <v>0</v>
      </c>
      <c r="I8">
        <f t="shared" si="2"/>
        <v>-63</v>
      </c>
    </row>
    <row r="9" spans="1:9" ht="12.75">
      <c r="A9" s="125" t="s">
        <v>114</v>
      </c>
      <c r="C9" s="126">
        <v>60</v>
      </c>
      <c r="D9" s="125">
        <v>1</v>
      </c>
      <c r="E9" s="125">
        <v>0</v>
      </c>
      <c r="F9" s="125">
        <v>-1.75</v>
      </c>
      <c r="G9">
        <f t="shared" si="0"/>
        <v>60</v>
      </c>
      <c r="H9">
        <f t="shared" si="1"/>
        <v>0</v>
      </c>
      <c r="I9">
        <f t="shared" si="2"/>
        <v>-105</v>
      </c>
    </row>
    <row r="10" spans="1:9" ht="12.75">
      <c r="A10" s="125" t="s">
        <v>115</v>
      </c>
      <c r="C10" s="126">
        <v>22</v>
      </c>
      <c r="D10" s="125">
        <v>0.75</v>
      </c>
      <c r="E10" s="125">
        <v>0</v>
      </c>
      <c r="F10" s="125">
        <v>-1.4</v>
      </c>
      <c r="G10">
        <f t="shared" si="0"/>
        <v>16.5</v>
      </c>
      <c r="H10">
        <f t="shared" si="1"/>
        <v>0</v>
      </c>
      <c r="I10">
        <f t="shared" si="2"/>
        <v>-30.799999999999997</v>
      </c>
    </row>
    <row r="11" spans="1:9" ht="12.75">
      <c r="A11" s="125" t="s">
        <v>116</v>
      </c>
      <c r="C11" s="126">
        <v>28</v>
      </c>
      <c r="D11" s="125">
        <v>1</v>
      </c>
      <c r="E11" s="125">
        <v>0</v>
      </c>
      <c r="F11" s="125">
        <v>-1.05</v>
      </c>
      <c r="G11">
        <f t="shared" si="0"/>
        <v>28</v>
      </c>
      <c r="H11">
        <f t="shared" si="1"/>
        <v>0</v>
      </c>
      <c r="I11">
        <f t="shared" si="2"/>
        <v>-29.400000000000002</v>
      </c>
    </row>
    <row r="12" spans="1:9" ht="12.75">
      <c r="A12" s="125" t="s">
        <v>117</v>
      </c>
      <c r="C12" s="126">
        <v>29</v>
      </c>
      <c r="D12" s="125">
        <v>0.95</v>
      </c>
      <c r="E12" s="125">
        <v>0</v>
      </c>
      <c r="F12" s="125">
        <v>-0.7</v>
      </c>
      <c r="G12">
        <f t="shared" si="0"/>
        <v>27.549999999999997</v>
      </c>
      <c r="H12">
        <f t="shared" si="1"/>
        <v>0</v>
      </c>
      <c r="I12">
        <f t="shared" si="2"/>
        <v>-20.299999999999997</v>
      </c>
    </row>
    <row r="13" spans="1:9" ht="12.75">
      <c r="A13" s="125" t="s">
        <v>118</v>
      </c>
      <c r="C13" s="126">
        <v>33</v>
      </c>
      <c r="D13" s="125">
        <v>1.15</v>
      </c>
      <c r="E13" s="125">
        <v>0</v>
      </c>
      <c r="F13" s="125">
        <v>-0.35</v>
      </c>
      <c r="G13">
        <f t="shared" si="0"/>
        <v>37.949999999999996</v>
      </c>
      <c r="H13">
        <f t="shared" si="1"/>
        <v>0</v>
      </c>
      <c r="I13">
        <f t="shared" si="2"/>
        <v>-11.549999999999999</v>
      </c>
    </row>
    <row r="14" spans="1:9" ht="12.75">
      <c r="A14" s="125" t="s">
        <v>119</v>
      </c>
      <c r="C14" s="126">
        <v>28</v>
      </c>
      <c r="D14" s="125">
        <v>1.1</v>
      </c>
      <c r="E14" s="125">
        <v>0</v>
      </c>
      <c r="F14" s="125">
        <v>0</v>
      </c>
      <c r="G14">
        <f t="shared" si="0"/>
        <v>30.800000000000004</v>
      </c>
      <c r="H14">
        <f t="shared" si="1"/>
        <v>0</v>
      </c>
      <c r="I14">
        <f t="shared" si="2"/>
        <v>0</v>
      </c>
    </row>
    <row r="15" spans="1:9" ht="12.75">
      <c r="A15" s="125" t="s">
        <v>120</v>
      </c>
      <c r="C15" s="126">
        <v>29.5</v>
      </c>
      <c r="D15" s="125">
        <v>0.9</v>
      </c>
      <c r="E15" s="125">
        <v>0</v>
      </c>
      <c r="F15" s="125">
        <v>0.35</v>
      </c>
      <c r="G15">
        <f t="shared" si="0"/>
        <v>26.55</v>
      </c>
      <c r="H15">
        <f t="shared" si="1"/>
        <v>0</v>
      </c>
      <c r="I15">
        <f t="shared" si="2"/>
        <v>10.325</v>
      </c>
    </row>
    <row r="16" spans="1:9" ht="12.75">
      <c r="A16" s="125" t="s">
        <v>121</v>
      </c>
      <c r="C16" s="126">
        <v>29</v>
      </c>
      <c r="D16" s="125">
        <v>0.95</v>
      </c>
      <c r="E16" s="125">
        <v>0</v>
      </c>
      <c r="F16" s="125">
        <v>0.7</v>
      </c>
      <c r="G16">
        <f t="shared" si="0"/>
        <v>27.549999999999997</v>
      </c>
      <c r="H16">
        <f t="shared" si="1"/>
        <v>0</v>
      </c>
      <c r="I16">
        <f t="shared" si="2"/>
        <v>20.299999999999997</v>
      </c>
    </row>
    <row r="17" spans="1:9" ht="12.75">
      <c r="A17" s="125" t="s">
        <v>122</v>
      </c>
      <c r="C17" s="126">
        <v>28</v>
      </c>
      <c r="D17" s="125">
        <v>0.95</v>
      </c>
      <c r="E17" s="125">
        <v>0</v>
      </c>
      <c r="F17" s="125">
        <v>1.05</v>
      </c>
      <c r="G17">
        <f t="shared" si="0"/>
        <v>26.599999999999998</v>
      </c>
      <c r="H17">
        <f t="shared" si="1"/>
        <v>0</v>
      </c>
      <c r="I17">
        <f t="shared" si="2"/>
        <v>29.400000000000002</v>
      </c>
    </row>
    <row r="18" spans="1:9" ht="12.75">
      <c r="A18" s="125" t="s">
        <v>123</v>
      </c>
      <c r="C18" s="126">
        <v>28</v>
      </c>
      <c r="D18" s="125">
        <v>0.95</v>
      </c>
      <c r="E18" s="125">
        <v>0</v>
      </c>
      <c r="F18" s="125">
        <v>1.4</v>
      </c>
      <c r="G18">
        <f t="shared" si="0"/>
        <v>26.599999999999998</v>
      </c>
      <c r="H18">
        <f t="shared" si="1"/>
        <v>0</v>
      </c>
      <c r="I18">
        <f t="shared" si="2"/>
        <v>39.199999999999996</v>
      </c>
    </row>
    <row r="19" spans="1:9" ht="12.75">
      <c r="A19" s="125" t="s">
        <v>124</v>
      </c>
      <c r="C19" s="126">
        <v>24</v>
      </c>
      <c r="D19" s="125">
        <v>0.95</v>
      </c>
      <c r="E19" s="125">
        <v>0</v>
      </c>
      <c r="F19" s="125">
        <v>1.75</v>
      </c>
      <c r="G19">
        <f t="shared" si="0"/>
        <v>22.799999999999997</v>
      </c>
      <c r="H19">
        <f t="shared" si="1"/>
        <v>0</v>
      </c>
      <c r="I19">
        <f t="shared" si="2"/>
        <v>42</v>
      </c>
    </row>
    <row r="20" spans="1:9" ht="12.75">
      <c r="A20" s="125" t="s">
        <v>125</v>
      </c>
      <c r="C20" s="126">
        <v>24</v>
      </c>
      <c r="D20" s="125">
        <v>0.95</v>
      </c>
      <c r="E20" s="125">
        <v>0</v>
      </c>
      <c r="F20" s="125">
        <v>2.1</v>
      </c>
      <c r="G20">
        <f t="shared" si="0"/>
        <v>22.799999999999997</v>
      </c>
      <c r="H20">
        <f t="shared" si="1"/>
        <v>0</v>
      </c>
      <c r="I20">
        <f t="shared" si="2"/>
        <v>50.400000000000006</v>
      </c>
    </row>
    <row r="21" spans="1:9" ht="12.75">
      <c r="A21" s="125" t="s">
        <v>126</v>
      </c>
      <c r="C21" s="126">
        <v>23</v>
      </c>
      <c r="D21" s="125">
        <v>1</v>
      </c>
      <c r="E21" s="125">
        <v>0</v>
      </c>
      <c r="F21" s="125">
        <v>2.45</v>
      </c>
      <c r="G21">
        <f t="shared" si="0"/>
        <v>23</v>
      </c>
      <c r="H21">
        <f t="shared" si="1"/>
        <v>0</v>
      </c>
      <c r="I21">
        <f t="shared" si="2"/>
        <v>56.35</v>
      </c>
    </row>
    <row r="22" spans="1:9" ht="12.75">
      <c r="A22" s="125" t="s">
        <v>127</v>
      </c>
      <c r="C22" s="126">
        <v>23</v>
      </c>
      <c r="D22" s="125">
        <v>1.1</v>
      </c>
      <c r="E22" s="125">
        <v>0</v>
      </c>
      <c r="F22" s="125">
        <v>2.8</v>
      </c>
      <c r="G22">
        <f t="shared" si="0"/>
        <v>25.3</v>
      </c>
      <c r="H22">
        <f t="shared" si="1"/>
        <v>0</v>
      </c>
      <c r="I22">
        <f t="shared" si="2"/>
        <v>64.39999999999999</v>
      </c>
    </row>
    <row r="23" spans="1:9" ht="12.75">
      <c r="A23" s="125" t="s">
        <v>128</v>
      </c>
      <c r="C23" s="126">
        <v>16</v>
      </c>
      <c r="D23" s="125">
        <v>1.25</v>
      </c>
      <c r="E23" s="125">
        <v>0</v>
      </c>
      <c r="F23" s="125">
        <v>3.15</v>
      </c>
      <c r="G23">
        <f aca="true" t="shared" si="3" ref="G23:G31">C23*D23</f>
        <v>20</v>
      </c>
      <c r="H23">
        <f aca="true" t="shared" si="4" ref="H23:H31">C23*E23</f>
        <v>0</v>
      </c>
      <c r="I23">
        <f aca="true" t="shared" si="5" ref="I23:I31">C23*F23</f>
        <v>50.4</v>
      </c>
    </row>
    <row r="24" spans="1:9" ht="12.75">
      <c r="A24" s="125" t="s">
        <v>129</v>
      </c>
      <c r="C24" s="126">
        <v>9</v>
      </c>
      <c r="D24" s="125">
        <v>1.4</v>
      </c>
      <c r="E24" s="125">
        <v>0</v>
      </c>
      <c r="F24" s="125">
        <v>3.5</v>
      </c>
      <c r="G24">
        <f t="shared" si="3"/>
        <v>12.6</v>
      </c>
      <c r="H24">
        <f t="shared" si="4"/>
        <v>0</v>
      </c>
      <c r="I24">
        <f t="shared" si="5"/>
        <v>31.5</v>
      </c>
    </row>
    <row r="25" spans="1:9" ht="12.75">
      <c r="A25" s="125" t="s">
        <v>130</v>
      </c>
      <c r="C25" s="126">
        <v>16.2</v>
      </c>
      <c r="D25" s="125">
        <v>0.65</v>
      </c>
      <c r="E25" s="125">
        <v>0</v>
      </c>
      <c r="F25" s="125">
        <v>3.25</v>
      </c>
      <c r="G25">
        <f t="shared" si="3"/>
        <v>10.53</v>
      </c>
      <c r="H25">
        <f t="shared" si="4"/>
        <v>0</v>
      </c>
      <c r="I25">
        <f t="shared" si="5"/>
        <v>52.65</v>
      </c>
    </row>
    <row r="26" spans="1:9" ht="12.75">
      <c r="A26" s="125" t="s">
        <v>131</v>
      </c>
      <c r="C26" s="126">
        <v>24</v>
      </c>
      <c r="D26" s="125">
        <v>0.05</v>
      </c>
      <c r="E26" s="125">
        <v>0</v>
      </c>
      <c r="F26" s="125">
        <v>-0.1</v>
      </c>
      <c r="G26">
        <f t="shared" si="3"/>
        <v>1.2000000000000002</v>
      </c>
      <c r="H26">
        <f t="shared" si="4"/>
        <v>0</v>
      </c>
      <c r="I26">
        <f t="shared" si="5"/>
        <v>-2.4000000000000004</v>
      </c>
    </row>
    <row r="27" spans="1:9" ht="12.75">
      <c r="A27" s="125" t="s">
        <v>132</v>
      </c>
      <c r="C27" s="126">
        <v>55</v>
      </c>
      <c r="D27" s="125">
        <v>0.6</v>
      </c>
      <c r="E27" s="125">
        <v>0</v>
      </c>
      <c r="F27" s="125">
        <v>-0.3</v>
      </c>
      <c r="G27">
        <f t="shared" si="3"/>
        <v>33</v>
      </c>
      <c r="H27">
        <f t="shared" si="4"/>
        <v>0</v>
      </c>
      <c r="I27">
        <f t="shared" si="5"/>
        <v>-16.5</v>
      </c>
    </row>
    <row r="28" spans="1:9" ht="12.75">
      <c r="A28" s="125" t="s">
        <v>133</v>
      </c>
      <c r="C28" s="126">
        <v>56</v>
      </c>
      <c r="D28" s="125">
        <v>0.76</v>
      </c>
      <c r="E28" s="125">
        <v>0</v>
      </c>
      <c r="F28" s="125">
        <v>-0.2</v>
      </c>
      <c r="G28">
        <f t="shared" si="3"/>
        <v>42.56</v>
      </c>
      <c r="H28">
        <f t="shared" si="4"/>
        <v>0</v>
      </c>
      <c r="I28">
        <f t="shared" si="5"/>
        <v>-11.200000000000001</v>
      </c>
    </row>
    <row r="29" spans="1:9" ht="12.75">
      <c r="A29" s="125" t="s">
        <v>134</v>
      </c>
      <c r="C29" s="126">
        <v>56.5</v>
      </c>
      <c r="D29" s="125">
        <v>1.36</v>
      </c>
      <c r="E29" s="125">
        <v>0</v>
      </c>
      <c r="F29" s="125">
        <v>-0.35</v>
      </c>
      <c r="G29">
        <f t="shared" si="3"/>
        <v>76.84</v>
      </c>
      <c r="H29">
        <f t="shared" si="4"/>
        <v>0</v>
      </c>
      <c r="I29">
        <f t="shared" si="5"/>
        <v>-19.775</v>
      </c>
    </row>
    <row r="30" spans="1:9" ht="12.75">
      <c r="A30" s="125" t="s">
        <v>269</v>
      </c>
      <c r="C30" s="126">
        <v>64</v>
      </c>
      <c r="D30" s="125">
        <v>1.36</v>
      </c>
      <c r="E30" s="125">
        <v>0</v>
      </c>
      <c r="F30" s="125">
        <v>0.05</v>
      </c>
      <c r="G30">
        <f t="shared" si="3"/>
        <v>87.04</v>
      </c>
      <c r="H30">
        <f t="shared" si="4"/>
        <v>0</v>
      </c>
      <c r="I30">
        <f t="shared" si="5"/>
        <v>3.2</v>
      </c>
    </row>
    <row r="31" spans="1:9" ht="12.75">
      <c r="A31" s="125" t="s">
        <v>135</v>
      </c>
      <c r="C31" s="126">
        <v>16</v>
      </c>
      <c r="D31" s="125">
        <v>1.75</v>
      </c>
      <c r="E31" s="125">
        <v>0</v>
      </c>
      <c r="F31" s="125">
        <v>-0.5</v>
      </c>
      <c r="G31">
        <f t="shared" si="3"/>
        <v>28</v>
      </c>
      <c r="H31">
        <f t="shared" si="4"/>
        <v>0</v>
      </c>
      <c r="I31">
        <f t="shared" si="5"/>
        <v>-8</v>
      </c>
    </row>
    <row r="32" spans="2:9" ht="12.75">
      <c r="B32" t="s">
        <v>108</v>
      </c>
      <c r="C32" s="64">
        <f>SUM(C4:C31)</f>
        <v>858.2</v>
      </c>
      <c r="D32">
        <f>G32/C32</f>
        <v>0.9901188534141226</v>
      </c>
      <c r="E32">
        <f>H32/C32</f>
        <v>0</v>
      </c>
      <c r="F32">
        <f>I32/C32</f>
        <v>-0.22197622931717534</v>
      </c>
      <c r="G32">
        <f>SUM(G4:G31)</f>
        <v>849.7200000000001</v>
      </c>
      <c r="H32">
        <f>SUM(H4:H31)</f>
        <v>0</v>
      </c>
      <c r="I32">
        <f>SUM(I4:I31)</f>
        <v>-190.4999999999999</v>
      </c>
    </row>
    <row r="33" ht="12.75">
      <c r="A33" s="127" t="s">
        <v>285</v>
      </c>
    </row>
    <row r="34" ht="12.75">
      <c r="A34" s="65" t="s">
        <v>136</v>
      </c>
    </row>
    <row r="35" spans="1:9" ht="12.75">
      <c r="A35" s="13" t="s">
        <v>78</v>
      </c>
      <c r="B35" s="13"/>
      <c r="C35" s="63" t="s">
        <v>80</v>
      </c>
      <c r="D35" s="13" t="s">
        <v>54</v>
      </c>
      <c r="E35" s="13"/>
      <c r="F35" s="13"/>
      <c r="G35" s="13" t="s">
        <v>55</v>
      </c>
      <c r="H35" s="13"/>
      <c r="I35" s="13"/>
    </row>
    <row r="36" spans="3:9" ht="15.75">
      <c r="C36" s="63" t="s">
        <v>81</v>
      </c>
      <c r="D36" s="63" t="s">
        <v>82</v>
      </c>
      <c r="E36" s="63" t="s">
        <v>83</v>
      </c>
      <c r="F36" s="63" t="s">
        <v>84</v>
      </c>
      <c r="G36" s="63" t="s">
        <v>87</v>
      </c>
      <c r="H36" s="63" t="s">
        <v>88</v>
      </c>
      <c r="I36" s="63" t="s">
        <v>85</v>
      </c>
    </row>
    <row r="37" spans="1:9" ht="12.75">
      <c r="A37" s="125" t="s">
        <v>270</v>
      </c>
      <c r="B37" s="125"/>
      <c r="C37" s="126">
        <v>4.1</v>
      </c>
      <c r="D37" s="125">
        <v>1.25</v>
      </c>
      <c r="E37" s="125">
        <v>0</v>
      </c>
      <c r="F37" s="125">
        <v>-3.6</v>
      </c>
      <c r="G37">
        <f>C37*D37</f>
        <v>5.125</v>
      </c>
      <c r="H37">
        <f>C37*E37</f>
        <v>0</v>
      </c>
      <c r="I37">
        <f>C37*F37</f>
        <v>-14.76</v>
      </c>
    </row>
    <row r="38" spans="1:9" ht="12.75">
      <c r="A38" s="125" t="s">
        <v>137</v>
      </c>
      <c r="B38" s="125"/>
      <c r="C38" s="126">
        <v>253.2</v>
      </c>
      <c r="D38" s="125">
        <v>0.55</v>
      </c>
      <c r="E38" s="125">
        <v>0</v>
      </c>
      <c r="F38" s="125">
        <v>0</v>
      </c>
      <c r="G38">
        <f aca="true" t="shared" si="6" ref="G38:G44">C38*D38</f>
        <v>139.26</v>
      </c>
      <c r="H38">
        <f aca="true" t="shared" si="7" ref="H38:H44">C38*E38</f>
        <v>0</v>
      </c>
      <c r="I38">
        <f aca="true" t="shared" si="8" ref="I38:I44">C38*F38</f>
        <v>0</v>
      </c>
    </row>
    <row r="39" spans="1:9" ht="12.75">
      <c r="A39" s="125" t="s">
        <v>139</v>
      </c>
      <c r="B39" s="125"/>
      <c r="C39" s="126">
        <v>182</v>
      </c>
      <c r="D39" s="125">
        <v>1.3</v>
      </c>
      <c r="E39" s="125">
        <v>0</v>
      </c>
      <c r="F39" s="125">
        <v>0</v>
      </c>
      <c r="G39">
        <f t="shared" si="6"/>
        <v>236.6</v>
      </c>
      <c r="H39">
        <f t="shared" si="7"/>
        <v>0</v>
      </c>
      <c r="I39">
        <f t="shared" si="8"/>
        <v>0</v>
      </c>
    </row>
    <row r="40" spans="1:9" ht="12.75">
      <c r="A40" s="125" t="s">
        <v>271</v>
      </c>
      <c r="B40" s="125"/>
      <c r="C40" s="126">
        <v>42.5</v>
      </c>
      <c r="D40" s="125">
        <v>1</v>
      </c>
      <c r="E40" s="125">
        <v>0</v>
      </c>
      <c r="F40" s="125">
        <v>-2.45</v>
      </c>
      <c r="G40">
        <f t="shared" si="6"/>
        <v>42.5</v>
      </c>
      <c r="H40">
        <f t="shared" si="7"/>
        <v>0</v>
      </c>
      <c r="I40">
        <f t="shared" si="8"/>
        <v>-104.12500000000001</v>
      </c>
    </row>
    <row r="41" spans="1:9" ht="12.75">
      <c r="A41" s="125" t="s">
        <v>138</v>
      </c>
      <c r="B41" s="125"/>
      <c r="C41" s="126">
        <v>112.5</v>
      </c>
      <c r="D41" s="125">
        <v>1.48</v>
      </c>
      <c r="E41" s="125">
        <v>0</v>
      </c>
      <c r="F41" s="125">
        <v>0.8</v>
      </c>
      <c r="G41">
        <f t="shared" si="6"/>
        <v>166.5</v>
      </c>
      <c r="H41">
        <f t="shared" si="7"/>
        <v>0</v>
      </c>
      <c r="I41">
        <f t="shared" si="8"/>
        <v>90</v>
      </c>
    </row>
    <row r="42" spans="1:9" ht="12.75">
      <c r="A42" s="125" t="s">
        <v>281</v>
      </c>
      <c r="B42" s="125"/>
      <c r="C42" s="126">
        <v>65</v>
      </c>
      <c r="D42" s="125">
        <v>1.49</v>
      </c>
      <c r="E42" s="125">
        <v>0</v>
      </c>
      <c r="F42" s="125">
        <v>0.8</v>
      </c>
      <c r="G42">
        <f t="shared" si="6"/>
        <v>96.85</v>
      </c>
      <c r="H42">
        <f t="shared" si="7"/>
        <v>0</v>
      </c>
      <c r="I42">
        <f t="shared" si="8"/>
        <v>52</v>
      </c>
    </row>
    <row r="43" spans="1:9" ht="12.75">
      <c r="A43" s="125" t="s">
        <v>140</v>
      </c>
      <c r="B43" s="125"/>
      <c r="C43" s="126">
        <v>26</v>
      </c>
      <c r="D43" s="125">
        <v>1.55</v>
      </c>
      <c r="E43" s="125">
        <v>0</v>
      </c>
      <c r="F43" s="125">
        <v>-0.9</v>
      </c>
      <c r="G43">
        <f t="shared" si="6"/>
        <v>40.300000000000004</v>
      </c>
      <c r="H43">
        <f t="shared" si="7"/>
        <v>0</v>
      </c>
      <c r="I43">
        <f t="shared" si="8"/>
        <v>-23.400000000000002</v>
      </c>
    </row>
    <row r="44" spans="1:9" ht="12.75">
      <c r="A44" s="125" t="s">
        <v>141</v>
      </c>
      <c r="B44" s="125"/>
      <c r="C44" s="126">
        <v>28</v>
      </c>
      <c r="D44" s="125">
        <v>1.85</v>
      </c>
      <c r="E44" s="125">
        <v>0</v>
      </c>
      <c r="F44" s="125">
        <v>-0.5</v>
      </c>
      <c r="G44">
        <f t="shared" si="6"/>
        <v>51.800000000000004</v>
      </c>
      <c r="H44">
        <f t="shared" si="7"/>
        <v>0</v>
      </c>
      <c r="I44">
        <f t="shared" si="8"/>
        <v>-14</v>
      </c>
    </row>
    <row r="45" spans="2:9" ht="12.75">
      <c r="B45" t="s">
        <v>108</v>
      </c>
      <c r="C45">
        <f>SUM(C37:C44)</f>
        <v>713.3</v>
      </c>
      <c r="D45">
        <f>G45/C45</f>
        <v>1.0920159820552362</v>
      </c>
      <c r="E45">
        <f>H45/C45</f>
        <v>0</v>
      </c>
      <c r="F45">
        <f>I45/C45</f>
        <v>-0.020026636758727075</v>
      </c>
      <c r="G45">
        <f>SUM(G37:G44)</f>
        <v>778.935</v>
      </c>
      <c r="H45">
        <f>SUM(H37:H44)</f>
        <v>0</v>
      </c>
      <c r="I45">
        <f>SUM(I37:I44)</f>
        <v>-14.285000000000021</v>
      </c>
    </row>
    <row r="46" ht="12.75">
      <c r="A46" s="128" t="s">
        <v>142</v>
      </c>
    </row>
    <row r="47" spans="1:9" ht="12.75">
      <c r="A47" s="13" t="s">
        <v>78</v>
      </c>
      <c r="B47" s="13"/>
      <c r="C47" s="63" t="s">
        <v>80</v>
      </c>
      <c r="D47" s="13" t="s">
        <v>54</v>
      </c>
      <c r="E47" s="13"/>
      <c r="F47" s="13"/>
      <c r="G47" s="13" t="s">
        <v>55</v>
      </c>
      <c r="H47" s="13"/>
      <c r="I47" s="13"/>
    </row>
    <row r="48" spans="3:9" ht="15.75">
      <c r="C48" s="63" t="s">
        <v>81</v>
      </c>
      <c r="D48" s="63" t="s">
        <v>82</v>
      </c>
      <c r="E48" s="63" t="s">
        <v>83</v>
      </c>
      <c r="F48" s="63" t="s">
        <v>84</v>
      </c>
      <c r="G48" s="63" t="s">
        <v>87</v>
      </c>
      <c r="H48" s="63" t="s">
        <v>88</v>
      </c>
      <c r="I48" s="63" t="s">
        <v>85</v>
      </c>
    </row>
    <row r="49" spans="1:9" ht="12.75">
      <c r="A49" s="125" t="s">
        <v>143</v>
      </c>
      <c r="B49" s="125"/>
      <c r="C49" s="126">
        <v>1</v>
      </c>
      <c r="D49" s="125"/>
      <c r="E49" s="125"/>
      <c r="F49" s="125"/>
      <c r="G49">
        <f>C49*D49</f>
        <v>0</v>
      </c>
      <c r="H49">
        <f>C49*E49</f>
        <v>0</v>
      </c>
      <c r="I49">
        <f>C49*F49</f>
        <v>0</v>
      </c>
    </row>
    <row r="50" spans="1:9" ht="12.75">
      <c r="A50" s="125" t="s">
        <v>144</v>
      </c>
      <c r="B50" s="125"/>
      <c r="C50" s="126"/>
      <c r="D50" s="125"/>
      <c r="E50" s="125"/>
      <c r="F50" s="125"/>
      <c r="G50">
        <f>C50*D50</f>
        <v>0</v>
      </c>
      <c r="H50">
        <f>C50*E50</f>
        <v>0</v>
      </c>
      <c r="I50">
        <f>C50*F50</f>
        <v>0</v>
      </c>
    </row>
    <row r="51" spans="1:9" ht="12.75">
      <c r="A51" s="125" t="s">
        <v>145</v>
      </c>
      <c r="B51" s="125"/>
      <c r="C51" s="126"/>
      <c r="D51" s="125"/>
      <c r="E51" s="125"/>
      <c r="F51" s="125"/>
      <c r="G51">
        <f>C51*D51</f>
        <v>0</v>
      </c>
      <c r="H51">
        <f>C51*E51</f>
        <v>0</v>
      </c>
      <c r="I51">
        <f>C51*F51</f>
        <v>0</v>
      </c>
    </row>
    <row r="52" spans="1:9" ht="12.75">
      <c r="A52" s="125" t="s">
        <v>146</v>
      </c>
      <c r="B52" s="125"/>
      <c r="C52" s="126"/>
      <c r="D52" s="125"/>
      <c r="E52" s="125"/>
      <c r="F52" s="125"/>
      <c r="G52">
        <f>C52*D52</f>
        <v>0</v>
      </c>
      <c r="H52">
        <f>C52*E52</f>
        <v>0</v>
      </c>
      <c r="I52">
        <f>C52*F52</f>
        <v>0</v>
      </c>
    </row>
    <row r="53" spans="2:9" ht="12.75">
      <c r="B53" t="s">
        <v>108</v>
      </c>
      <c r="C53">
        <f>SUM(C49:C52)</f>
        <v>1</v>
      </c>
      <c r="D53">
        <f>G53/C53</f>
        <v>0</v>
      </c>
      <c r="E53">
        <f>H53/C53</f>
        <v>0</v>
      </c>
      <c r="F53">
        <f>I53/C53</f>
        <v>0</v>
      </c>
      <c r="G53">
        <f>SUM(G49:G52)</f>
        <v>0</v>
      </c>
      <c r="H53">
        <f>SUM(H49:H52)</f>
        <v>0</v>
      </c>
      <c r="I53">
        <f>SUM(I49:I52)</f>
        <v>0</v>
      </c>
    </row>
    <row r="54" ht="12.75">
      <c r="A54" s="128" t="s">
        <v>147</v>
      </c>
    </row>
    <row r="55" spans="1:9" ht="12.75">
      <c r="A55" s="13" t="s">
        <v>78</v>
      </c>
      <c r="B55" s="13"/>
      <c r="C55" s="63" t="s">
        <v>80</v>
      </c>
      <c r="D55" s="13" t="s">
        <v>54</v>
      </c>
      <c r="E55" s="13"/>
      <c r="F55" s="13"/>
      <c r="G55" s="13" t="s">
        <v>55</v>
      </c>
      <c r="H55" s="13"/>
      <c r="I55" s="13"/>
    </row>
    <row r="56" spans="3:9" ht="15.75">
      <c r="C56" s="63" t="s">
        <v>81</v>
      </c>
      <c r="D56" s="63" t="s">
        <v>82</v>
      </c>
      <c r="E56" s="63" t="s">
        <v>83</v>
      </c>
      <c r="F56" s="63" t="s">
        <v>84</v>
      </c>
      <c r="G56" s="63" t="s">
        <v>87</v>
      </c>
      <c r="H56" s="63" t="s">
        <v>88</v>
      </c>
      <c r="I56" s="63" t="s">
        <v>85</v>
      </c>
    </row>
    <row r="57" spans="1:9" ht="12.75">
      <c r="A57" s="125" t="s">
        <v>148</v>
      </c>
      <c r="B57" s="125"/>
      <c r="C57" s="126">
        <v>1</v>
      </c>
      <c r="D57" s="125"/>
      <c r="E57" s="125"/>
      <c r="F57" s="125"/>
      <c r="G57">
        <f aca="true" t="shared" si="9" ref="G57:G62">C57*D57</f>
        <v>0</v>
      </c>
      <c r="H57">
        <f aca="true" t="shared" si="10" ref="H57:H62">C57*E57</f>
        <v>0</v>
      </c>
      <c r="I57">
        <f aca="true" t="shared" si="11" ref="I57:I62">C57*F57</f>
        <v>0</v>
      </c>
    </row>
    <row r="58" spans="1:9" ht="12.75">
      <c r="A58" s="125" t="s">
        <v>149</v>
      </c>
      <c r="B58" s="125"/>
      <c r="C58" s="126"/>
      <c r="D58" s="125"/>
      <c r="E58" s="125"/>
      <c r="F58" s="125"/>
      <c r="G58">
        <f t="shared" si="9"/>
        <v>0</v>
      </c>
      <c r="H58">
        <f t="shared" si="10"/>
        <v>0</v>
      </c>
      <c r="I58">
        <f t="shared" si="11"/>
        <v>0</v>
      </c>
    </row>
    <row r="59" spans="1:9" ht="12.75">
      <c r="A59" s="125" t="s">
        <v>150</v>
      </c>
      <c r="B59" s="125"/>
      <c r="C59" s="126"/>
      <c r="D59" s="125"/>
      <c r="E59" s="125"/>
      <c r="F59" s="125"/>
      <c r="G59">
        <f t="shared" si="9"/>
        <v>0</v>
      </c>
      <c r="H59">
        <f t="shared" si="10"/>
        <v>0</v>
      </c>
      <c r="I59">
        <f t="shared" si="11"/>
        <v>0</v>
      </c>
    </row>
    <row r="60" spans="1:9" ht="12.75">
      <c r="A60" s="125" t="s">
        <v>151</v>
      </c>
      <c r="B60" s="125"/>
      <c r="C60" s="126"/>
      <c r="D60" s="125"/>
      <c r="E60" s="125"/>
      <c r="F60" s="125"/>
      <c r="G60">
        <f t="shared" si="9"/>
        <v>0</v>
      </c>
      <c r="H60">
        <f t="shared" si="10"/>
        <v>0</v>
      </c>
      <c r="I60">
        <f t="shared" si="11"/>
        <v>0</v>
      </c>
    </row>
    <row r="61" spans="1:9" ht="12.75">
      <c r="A61" s="125" t="s">
        <v>152</v>
      </c>
      <c r="B61" s="125"/>
      <c r="C61" s="125"/>
      <c r="D61" s="125"/>
      <c r="E61" s="125"/>
      <c r="F61" s="125"/>
      <c r="G61">
        <f t="shared" si="9"/>
        <v>0</v>
      </c>
      <c r="H61">
        <f t="shared" si="10"/>
        <v>0</v>
      </c>
      <c r="I61">
        <f t="shared" si="11"/>
        <v>0</v>
      </c>
    </row>
    <row r="62" spans="1:9" ht="12.75">
      <c r="A62" s="125" t="s">
        <v>153</v>
      </c>
      <c r="B62" s="125"/>
      <c r="C62" s="125"/>
      <c r="D62" s="125"/>
      <c r="E62" s="125"/>
      <c r="F62" s="125"/>
      <c r="G62">
        <f t="shared" si="9"/>
        <v>0</v>
      </c>
      <c r="H62">
        <f t="shared" si="10"/>
        <v>0</v>
      </c>
      <c r="I62">
        <f t="shared" si="11"/>
        <v>0</v>
      </c>
    </row>
    <row r="63" spans="2:9" ht="12.75">
      <c r="B63" t="s">
        <v>108</v>
      </c>
      <c r="C63" s="64">
        <f>SUM(C57:C62)</f>
        <v>1</v>
      </c>
      <c r="D63">
        <f>G63/C63</f>
        <v>0</v>
      </c>
      <c r="E63">
        <f>H63/C63</f>
        <v>0</v>
      </c>
      <c r="F63">
        <f>I63/C63</f>
        <v>0</v>
      </c>
      <c r="G63">
        <f>SUM(G57:G62)</f>
        <v>0</v>
      </c>
      <c r="H63">
        <f>SUM(H57:H62)</f>
        <v>0</v>
      </c>
      <c r="I63">
        <f>SUM(I57:I62)</f>
        <v>0</v>
      </c>
    </row>
    <row r="64" ht="12.75">
      <c r="A64" s="128" t="s">
        <v>154</v>
      </c>
    </row>
    <row r="65" spans="1:9" ht="12.75">
      <c r="A65" s="13" t="s">
        <v>78</v>
      </c>
      <c r="B65" s="13"/>
      <c r="C65" s="63" t="s">
        <v>80</v>
      </c>
      <c r="D65" s="13" t="s">
        <v>54</v>
      </c>
      <c r="E65" s="13"/>
      <c r="F65" s="13"/>
      <c r="G65" s="13" t="s">
        <v>55</v>
      </c>
      <c r="H65" s="13"/>
      <c r="I65" s="13"/>
    </row>
    <row r="66" spans="3:9" ht="15.75">
      <c r="C66" s="63" t="s">
        <v>81</v>
      </c>
      <c r="D66" s="63" t="s">
        <v>82</v>
      </c>
      <c r="E66" s="63" t="s">
        <v>83</v>
      </c>
      <c r="F66" s="63" t="s">
        <v>84</v>
      </c>
      <c r="G66" s="63" t="s">
        <v>87</v>
      </c>
      <c r="H66" s="63" t="s">
        <v>88</v>
      </c>
      <c r="I66" s="63" t="s">
        <v>85</v>
      </c>
    </row>
    <row r="67" spans="1:9" ht="12.75">
      <c r="A67" s="125" t="s">
        <v>155</v>
      </c>
      <c r="B67" s="125"/>
      <c r="C67" s="126">
        <v>1</v>
      </c>
      <c r="D67" s="125"/>
      <c r="E67" s="125"/>
      <c r="F67" s="125"/>
      <c r="G67">
        <f>C67*D67</f>
        <v>0</v>
      </c>
      <c r="H67">
        <f>C67*E67</f>
        <v>0</v>
      </c>
      <c r="I67">
        <f>C67*F67</f>
        <v>0</v>
      </c>
    </row>
    <row r="68" spans="1:9" ht="12.75">
      <c r="A68" s="125" t="s">
        <v>156</v>
      </c>
      <c r="B68" s="125"/>
      <c r="C68" s="126"/>
      <c r="D68" s="125"/>
      <c r="E68" s="125"/>
      <c r="F68" s="125"/>
      <c r="G68">
        <f>C68*D68</f>
        <v>0</v>
      </c>
      <c r="H68">
        <f>C68*E68</f>
        <v>0</v>
      </c>
      <c r="I68">
        <f>C68*F68</f>
        <v>0</v>
      </c>
    </row>
    <row r="69" spans="1:9" ht="12.75">
      <c r="A69" s="125" t="s">
        <v>157</v>
      </c>
      <c r="B69" s="125"/>
      <c r="C69" s="126"/>
      <c r="D69" s="125"/>
      <c r="E69" s="125"/>
      <c r="F69" s="125"/>
      <c r="G69">
        <f>C69*D69</f>
        <v>0</v>
      </c>
      <c r="H69">
        <f>C69*E69</f>
        <v>0</v>
      </c>
      <c r="I69">
        <f>C69*F69</f>
        <v>0</v>
      </c>
    </row>
    <row r="70" spans="1:9" ht="12.75">
      <c r="A70" s="125" t="s">
        <v>158</v>
      </c>
      <c r="B70" s="125"/>
      <c r="C70" s="126"/>
      <c r="D70" s="125"/>
      <c r="E70" s="125"/>
      <c r="F70" s="125"/>
      <c r="G70">
        <f>C70*D70</f>
        <v>0</v>
      </c>
      <c r="H70">
        <f>C70*E70</f>
        <v>0</v>
      </c>
      <c r="I70">
        <f>C70*F70</f>
        <v>0</v>
      </c>
    </row>
    <row r="71" spans="2:9" ht="12.75">
      <c r="B71" t="s">
        <v>108</v>
      </c>
      <c r="C71">
        <f>SUM(C67:C70)</f>
        <v>1</v>
      </c>
      <c r="D71">
        <f>G71/C71</f>
        <v>0</v>
      </c>
      <c r="E71">
        <f>H71/C71</f>
        <v>0</v>
      </c>
      <c r="F71">
        <f>I71/C71</f>
        <v>0</v>
      </c>
      <c r="G71">
        <f>SUM(G67:G70)</f>
        <v>0</v>
      </c>
      <c r="H71">
        <f>SUM(H67:H70)</f>
        <v>0</v>
      </c>
      <c r="I71">
        <f>SUM(I67:I70)</f>
        <v>0</v>
      </c>
    </row>
    <row r="72" ht="12.75">
      <c r="J72" s="107"/>
    </row>
    <row r="73" ht="12.75">
      <c r="A73" s="62" t="s">
        <v>77</v>
      </c>
    </row>
    <row r="74" spans="1:9" ht="12.75">
      <c r="A74" s="13" t="s">
        <v>78</v>
      </c>
      <c r="B74" s="13"/>
      <c r="C74" s="63" t="s">
        <v>80</v>
      </c>
      <c r="D74" s="13" t="s">
        <v>54</v>
      </c>
      <c r="E74" s="13"/>
      <c r="F74" s="13"/>
      <c r="G74" s="13" t="s">
        <v>55</v>
      </c>
      <c r="H74" s="13"/>
      <c r="I74" s="13"/>
    </row>
    <row r="75" spans="3:10" ht="15.75">
      <c r="C75" s="63" t="s">
        <v>81</v>
      </c>
      <c r="D75" s="63" t="s">
        <v>82</v>
      </c>
      <c r="E75" s="63" t="s">
        <v>83</v>
      </c>
      <c r="F75" s="63" t="s">
        <v>84</v>
      </c>
      <c r="G75" s="63" t="s">
        <v>282</v>
      </c>
      <c r="H75" s="63" t="s">
        <v>283</v>
      </c>
      <c r="I75" s="63" t="s">
        <v>284</v>
      </c>
      <c r="J75" s="62"/>
    </row>
    <row r="76" spans="1:9" ht="12.75">
      <c r="A76" t="s">
        <v>89</v>
      </c>
      <c r="C76" s="126">
        <v>858.2</v>
      </c>
      <c r="D76" s="125">
        <v>0.990119</v>
      </c>
      <c r="E76" s="125">
        <v>0</v>
      </c>
      <c r="F76" s="125">
        <v>-0.22198</v>
      </c>
      <c r="G76">
        <f>C76*D76</f>
        <v>849.7201258</v>
      </c>
      <c r="H76">
        <f>C76*E76</f>
        <v>0</v>
      </c>
      <c r="I76">
        <f>C76*F76</f>
        <v>-190.50323600000002</v>
      </c>
    </row>
    <row r="77" spans="1:9" ht="12.75">
      <c r="A77" t="s">
        <v>90</v>
      </c>
      <c r="C77" s="126">
        <v>713.3</v>
      </c>
      <c r="D77" s="125">
        <v>1.092016</v>
      </c>
      <c r="E77" s="125">
        <v>0</v>
      </c>
      <c r="F77" s="125">
        <v>-0.02003</v>
      </c>
      <c r="G77">
        <f aca="true" t="shared" si="12" ref="G77:G95">C77*D77</f>
        <v>778.9350128</v>
      </c>
      <c r="H77">
        <f aca="true" t="shared" si="13" ref="H77:H95">C77*E77</f>
        <v>0</v>
      </c>
      <c r="I77">
        <f aca="true" t="shared" si="14" ref="I77:I95">C77*F77</f>
        <v>-14.287398999999999</v>
      </c>
    </row>
    <row r="78" spans="1:9" ht="12.75">
      <c r="A78" s="125" t="s">
        <v>91</v>
      </c>
      <c r="C78" s="126">
        <v>50</v>
      </c>
      <c r="D78" s="125">
        <v>4.5</v>
      </c>
      <c r="E78" s="125">
        <v>0</v>
      </c>
      <c r="F78" s="125">
        <v>1.75</v>
      </c>
      <c r="G78">
        <f t="shared" si="12"/>
        <v>225</v>
      </c>
      <c r="H78">
        <f t="shared" si="13"/>
        <v>0</v>
      </c>
      <c r="I78">
        <f t="shared" si="14"/>
        <v>87.5</v>
      </c>
    </row>
    <row r="79" spans="1:9" ht="12.75">
      <c r="A79" s="125" t="s">
        <v>92</v>
      </c>
      <c r="C79" s="126">
        <v>45</v>
      </c>
      <c r="D79" s="125">
        <v>1.6</v>
      </c>
      <c r="E79" s="125">
        <v>0</v>
      </c>
      <c r="F79" s="125">
        <v>-0.8</v>
      </c>
      <c r="G79">
        <f t="shared" si="12"/>
        <v>72</v>
      </c>
      <c r="H79">
        <f t="shared" si="13"/>
        <v>0</v>
      </c>
      <c r="I79">
        <f t="shared" si="14"/>
        <v>-36</v>
      </c>
    </row>
    <row r="80" spans="1:9" ht="12.75">
      <c r="A80" s="125" t="s">
        <v>93</v>
      </c>
      <c r="C80" s="126">
        <v>85</v>
      </c>
      <c r="D80" s="125">
        <v>0.42</v>
      </c>
      <c r="E80" s="125">
        <v>0</v>
      </c>
      <c r="F80" s="125">
        <v>-1.05</v>
      </c>
      <c r="G80">
        <f t="shared" si="12"/>
        <v>35.699999999999996</v>
      </c>
      <c r="H80">
        <f t="shared" si="13"/>
        <v>0</v>
      </c>
      <c r="I80">
        <f t="shared" si="14"/>
        <v>-89.25</v>
      </c>
    </row>
    <row r="81" spans="1:9" ht="12.75">
      <c r="A81" s="125" t="s">
        <v>94</v>
      </c>
      <c r="C81" s="126">
        <v>12</v>
      </c>
      <c r="D81" s="125">
        <v>1.3</v>
      </c>
      <c r="E81" s="125">
        <v>0</v>
      </c>
      <c r="F81" s="125">
        <v>-3.3</v>
      </c>
      <c r="G81">
        <f t="shared" si="12"/>
        <v>15.600000000000001</v>
      </c>
      <c r="H81">
        <f t="shared" si="13"/>
        <v>0</v>
      </c>
      <c r="I81">
        <f t="shared" si="14"/>
        <v>-39.599999999999994</v>
      </c>
    </row>
    <row r="82" spans="1:9" ht="12.75">
      <c r="A82" s="125" t="s">
        <v>95</v>
      </c>
      <c r="C82" s="126">
        <v>6</v>
      </c>
      <c r="D82" s="125">
        <v>0.75</v>
      </c>
      <c r="E82" s="125">
        <v>0</v>
      </c>
      <c r="F82" s="125">
        <v>-3.4</v>
      </c>
      <c r="G82">
        <f t="shared" si="12"/>
        <v>4.5</v>
      </c>
      <c r="H82">
        <f t="shared" si="13"/>
        <v>0</v>
      </c>
      <c r="I82">
        <f t="shared" si="14"/>
        <v>-20.4</v>
      </c>
    </row>
    <row r="83" spans="1:9" ht="12.75">
      <c r="A83" s="125" t="s">
        <v>96</v>
      </c>
      <c r="C83" s="126">
        <v>20</v>
      </c>
      <c r="D83" s="125">
        <v>1.85</v>
      </c>
      <c r="E83" s="125">
        <v>0</v>
      </c>
      <c r="F83" s="125">
        <v>0.7</v>
      </c>
      <c r="G83">
        <f t="shared" si="12"/>
        <v>37</v>
      </c>
      <c r="H83">
        <f t="shared" si="13"/>
        <v>0</v>
      </c>
      <c r="I83">
        <f t="shared" si="14"/>
        <v>14</v>
      </c>
    </row>
    <row r="84" spans="1:9" ht="12.75">
      <c r="A84" s="125" t="s">
        <v>98</v>
      </c>
      <c r="C84" s="126">
        <v>6</v>
      </c>
      <c r="D84" s="125">
        <v>1.55</v>
      </c>
      <c r="E84" s="125">
        <v>0.95</v>
      </c>
      <c r="F84" s="125">
        <v>-2</v>
      </c>
      <c r="G84">
        <f t="shared" si="12"/>
        <v>9.3</v>
      </c>
      <c r="H84">
        <f t="shared" si="13"/>
        <v>5.699999999999999</v>
      </c>
      <c r="I84">
        <f t="shared" si="14"/>
        <v>-12</v>
      </c>
    </row>
    <row r="85" spans="1:9" ht="12.75">
      <c r="A85" s="125" t="s">
        <v>99</v>
      </c>
      <c r="C85" s="126">
        <v>10</v>
      </c>
      <c r="D85" s="125">
        <v>1.7</v>
      </c>
      <c r="E85" s="125">
        <v>0</v>
      </c>
      <c r="F85" s="125">
        <v>3.2</v>
      </c>
      <c r="G85">
        <f t="shared" si="12"/>
        <v>17</v>
      </c>
      <c r="H85">
        <f t="shared" si="13"/>
        <v>0</v>
      </c>
      <c r="I85">
        <f t="shared" si="14"/>
        <v>32</v>
      </c>
    </row>
    <row r="86" spans="1:9" ht="12.75">
      <c r="A86" s="125" t="s">
        <v>100</v>
      </c>
      <c r="C86" s="126">
        <v>15</v>
      </c>
      <c r="D86" s="125">
        <v>1.5</v>
      </c>
      <c r="E86" s="125">
        <v>0</v>
      </c>
      <c r="F86" s="125">
        <v>3.35</v>
      </c>
      <c r="G86">
        <f t="shared" si="12"/>
        <v>22.5</v>
      </c>
      <c r="H86">
        <f t="shared" si="13"/>
        <v>0</v>
      </c>
      <c r="I86">
        <f t="shared" si="14"/>
        <v>50.25</v>
      </c>
    </row>
    <row r="87" spans="1:9" ht="12.75">
      <c r="A87" s="125" t="s">
        <v>101</v>
      </c>
      <c r="C87" s="126">
        <v>5</v>
      </c>
      <c r="D87" s="125">
        <v>1.3</v>
      </c>
      <c r="E87" s="125">
        <v>-0.2</v>
      </c>
      <c r="F87" s="125">
        <v>3.3</v>
      </c>
      <c r="G87">
        <f t="shared" si="12"/>
        <v>6.5</v>
      </c>
      <c r="H87">
        <f t="shared" si="13"/>
        <v>-1</v>
      </c>
      <c r="I87">
        <f t="shared" si="14"/>
        <v>16.5</v>
      </c>
    </row>
    <row r="88" spans="1:9" ht="12.75">
      <c r="A88" s="125" t="s">
        <v>102</v>
      </c>
      <c r="C88" s="126">
        <v>35</v>
      </c>
      <c r="D88" s="125">
        <v>1.65</v>
      </c>
      <c r="E88" s="125">
        <v>0</v>
      </c>
      <c r="F88" s="125">
        <v>0.9</v>
      </c>
      <c r="G88">
        <f t="shared" si="12"/>
        <v>57.75</v>
      </c>
      <c r="H88">
        <f t="shared" si="13"/>
        <v>0</v>
      </c>
      <c r="I88">
        <f t="shared" si="14"/>
        <v>31.5</v>
      </c>
    </row>
    <row r="89" spans="1:9" ht="12.75">
      <c r="A89" s="125" t="s">
        <v>103</v>
      </c>
      <c r="C89" s="126">
        <v>15</v>
      </c>
      <c r="D89" s="125">
        <v>5.5</v>
      </c>
      <c r="E89" s="125">
        <v>0</v>
      </c>
      <c r="F89" s="125">
        <v>1.8</v>
      </c>
      <c r="G89">
        <f t="shared" si="12"/>
        <v>82.5</v>
      </c>
      <c r="H89">
        <f t="shared" si="13"/>
        <v>0</v>
      </c>
      <c r="I89">
        <f t="shared" si="14"/>
        <v>27</v>
      </c>
    </row>
    <row r="90" spans="1:9" ht="12.75">
      <c r="A90" s="125" t="s">
        <v>104</v>
      </c>
      <c r="C90" s="126">
        <v>40</v>
      </c>
      <c r="D90" s="125">
        <v>5</v>
      </c>
      <c r="E90" s="125">
        <v>0</v>
      </c>
      <c r="F90" s="125">
        <v>1</v>
      </c>
      <c r="G90">
        <f t="shared" si="12"/>
        <v>200</v>
      </c>
      <c r="H90">
        <f t="shared" si="13"/>
        <v>0</v>
      </c>
      <c r="I90">
        <f t="shared" si="14"/>
        <v>40</v>
      </c>
    </row>
    <row r="91" spans="1:9" ht="12.75">
      <c r="A91" s="125" t="s">
        <v>105</v>
      </c>
      <c r="C91" s="126">
        <v>10</v>
      </c>
      <c r="D91" s="125">
        <v>4.5</v>
      </c>
      <c r="E91" s="125">
        <v>0</v>
      </c>
      <c r="F91" s="125">
        <v>0</v>
      </c>
      <c r="G91">
        <f t="shared" si="12"/>
        <v>45</v>
      </c>
      <c r="H91">
        <f t="shared" si="13"/>
        <v>0</v>
      </c>
      <c r="I91">
        <f t="shared" si="14"/>
        <v>0</v>
      </c>
    </row>
    <row r="92" spans="1:9" ht="12.75">
      <c r="A92" s="125" t="s">
        <v>106</v>
      </c>
      <c r="C92" s="126">
        <v>4</v>
      </c>
      <c r="D92" s="125">
        <v>4</v>
      </c>
      <c r="E92" s="125">
        <v>0</v>
      </c>
      <c r="F92" s="125">
        <v>2</v>
      </c>
      <c r="G92">
        <f t="shared" si="12"/>
        <v>16</v>
      </c>
      <c r="H92">
        <f t="shared" si="13"/>
        <v>0</v>
      </c>
      <c r="I92">
        <f t="shared" si="14"/>
        <v>8</v>
      </c>
    </row>
    <row r="93" spans="1:9" ht="12.75">
      <c r="A93" s="125" t="s">
        <v>107</v>
      </c>
      <c r="C93" s="126">
        <v>120</v>
      </c>
      <c r="D93" s="125">
        <v>0.65</v>
      </c>
      <c r="E93" s="125">
        <v>0</v>
      </c>
      <c r="F93" s="125">
        <v>0.8</v>
      </c>
      <c r="G93">
        <f t="shared" si="12"/>
        <v>78</v>
      </c>
      <c r="H93">
        <f t="shared" si="13"/>
        <v>0</v>
      </c>
      <c r="I93">
        <f t="shared" si="14"/>
        <v>96</v>
      </c>
    </row>
    <row r="94" spans="1:9" ht="12.75">
      <c r="A94" s="125" t="s">
        <v>279</v>
      </c>
      <c r="C94" s="126">
        <v>2836</v>
      </c>
      <c r="D94" s="125">
        <v>0.35</v>
      </c>
      <c r="E94" s="125">
        <v>0</v>
      </c>
      <c r="F94" s="125">
        <v>-0.2845</v>
      </c>
      <c r="G94">
        <f t="shared" si="12"/>
        <v>992.5999999999999</v>
      </c>
      <c r="H94">
        <f t="shared" si="13"/>
        <v>0</v>
      </c>
      <c r="I94">
        <f t="shared" si="14"/>
        <v>-806.842</v>
      </c>
    </row>
    <row r="95" spans="1:9" ht="12.75">
      <c r="A95" s="125" t="s">
        <v>280</v>
      </c>
      <c r="C95" s="126">
        <v>2302</v>
      </c>
      <c r="D95" s="125">
        <v>0.6</v>
      </c>
      <c r="E95" s="125">
        <v>0</v>
      </c>
      <c r="F95" s="125">
        <v>0.1504</v>
      </c>
      <c r="G95">
        <f t="shared" si="12"/>
        <v>1381.2</v>
      </c>
      <c r="H95">
        <f t="shared" si="13"/>
        <v>0</v>
      </c>
      <c r="I95">
        <f t="shared" si="14"/>
        <v>346.2208</v>
      </c>
    </row>
    <row r="96" spans="2:9" ht="12.75">
      <c r="B96" t="s">
        <v>108</v>
      </c>
      <c r="C96" s="64">
        <f>SUM(C76:C95)</f>
        <v>7187.5</v>
      </c>
      <c r="D96">
        <f>G96/C96</f>
        <v>0.6854685410226087</v>
      </c>
      <c r="E96">
        <f>H96/C96</f>
        <v>0.0006539130434782608</v>
      </c>
      <c r="F96">
        <f>I96/C96</f>
        <v>-0.06398773356521738</v>
      </c>
      <c r="G96">
        <f>SUM(G76:G95)</f>
        <v>4926.8051386</v>
      </c>
      <c r="H96">
        <f>SUM(H76:H95)</f>
        <v>4.699999999999999</v>
      </c>
      <c r="I96">
        <f>SUM(I76:I95)</f>
        <v>-459.91183499999994</v>
      </c>
    </row>
    <row r="98" ht="12.75">
      <c r="A98" s="129" t="s">
        <v>272</v>
      </c>
    </row>
    <row r="99" spans="1:9" ht="12.75">
      <c r="A99" s="13" t="s">
        <v>78</v>
      </c>
      <c r="B99" s="13"/>
      <c r="C99" s="63" t="s">
        <v>80</v>
      </c>
      <c r="D99" s="13" t="s">
        <v>54</v>
      </c>
      <c r="E99" s="13"/>
      <c r="F99" s="13"/>
      <c r="G99" s="13" t="s">
        <v>55</v>
      </c>
      <c r="H99" s="13"/>
      <c r="I99" s="13"/>
    </row>
    <row r="100" spans="3:9" ht="15.75">
      <c r="C100" s="63" t="s">
        <v>81</v>
      </c>
      <c r="D100" s="63" t="s">
        <v>82</v>
      </c>
      <c r="E100" s="63" t="s">
        <v>83</v>
      </c>
      <c r="F100" s="63" t="s">
        <v>84</v>
      </c>
      <c r="G100" s="63" t="s">
        <v>282</v>
      </c>
      <c r="H100" s="63" t="s">
        <v>283</v>
      </c>
      <c r="I100" s="63" t="s">
        <v>284</v>
      </c>
    </row>
    <row r="101" spans="1:9" ht="12.75">
      <c r="A101" t="s">
        <v>273</v>
      </c>
      <c r="C101" s="126">
        <v>7187.5</v>
      </c>
      <c r="D101" s="125">
        <v>0.685469</v>
      </c>
      <c r="E101" s="125">
        <v>0.000654</v>
      </c>
      <c r="F101" s="125">
        <v>-0.06399</v>
      </c>
      <c r="G101">
        <f>C101*D101</f>
        <v>4926.8084375</v>
      </c>
      <c r="H101">
        <f>C101*E101</f>
        <v>4.700625</v>
      </c>
      <c r="I101">
        <f>C101*F101</f>
        <v>-459.928125</v>
      </c>
    </row>
    <row r="102" spans="1:9" ht="12.75">
      <c r="A102" s="125" t="s">
        <v>274</v>
      </c>
      <c r="C102" s="125">
        <v>300</v>
      </c>
      <c r="D102" s="125">
        <v>1.3</v>
      </c>
      <c r="E102" s="125">
        <v>0</v>
      </c>
      <c r="F102" s="125">
        <v>0</v>
      </c>
      <c r="G102">
        <f>C102*D102</f>
        <v>390</v>
      </c>
      <c r="H102">
        <f>C102*E102</f>
        <v>0</v>
      </c>
      <c r="I102">
        <f>C102*F102</f>
        <v>0</v>
      </c>
    </row>
    <row r="103" spans="1:9" ht="12.75">
      <c r="A103" s="125" t="s">
        <v>276</v>
      </c>
      <c r="C103" s="125">
        <v>200</v>
      </c>
      <c r="D103" s="125">
        <v>1</v>
      </c>
      <c r="E103" s="125">
        <v>0</v>
      </c>
      <c r="F103" s="125">
        <v>0</v>
      </c>
      <c r="G103">
        <f>C103*D103</f>
        <v>200</v>
      </c>
      <c r="H103">
        <f>C103*E103</f>
        <v>0</v>
      </c>
      <c r="I103">
        <f>C103*F103</f>
        <v>0</v>
      </c>
    </row>
    <row r="104" spans="1:9" ht="12.75">
      <c r="A104" t="s">
        <v>275</v>
      </c>
      <c r="C104" s="125">
        <v>100</v>
      </c>
      <c r="D104" s="125">
        <v>1</v>
      </c>
      <c r="E104" s="125">
        <v>0</v>
      </c>
      <c r="F104" s="125">
        <v>0</v>
      </c>
      <c r="G104">
        <f>C104*D104</f>
        <v>100</v>
      </c>
      <c r="H104">
        <f>C104*E104</f>
        <v>0</v>
      </c>
      <c r="I104">
        <f>C104*F104</f>
        <v>0</v>
      </c>
    </row>
    <row r="105" spans="2:9" ht="12.75">
      <c r="B105" t="s">
        <v>108</v>
      </c>
      <c r="C105" s="64">
        <f>SUM(C101:C104)</f>
        <v>7787.5</v>
      </c>
      <c r="D105">
        <f>G105/C105</f>
        <v>0.7212595104333869</v>
      </c>
      <c r="E105">
        <f>H105/C105</f>
        <v>0.0006036115569823435</v>
      </c>
      <c r="F105">
        <f>I105/C105</f>
        <v>-0.059059791332263245</v>
      </c>
      <c r="G105">
        <f>SUM(G101:G104)</f>
        <v>5616.8084375</v>
      </c>
      <c r="H105">
        <f>SUM(H101:H104)</f>
        <v>4.700625</v>
      </c>
      <c r="I105">
        <f>SUM(I101:I104)</f>
        <v>-459.928125</v>
      </c>
    </row>
    <row r="107" ht="12.75">
      <c r="A107" s="129" t="s">
        <v>277</v>
      </c>
    </row>
    <row r="108" spans="1:9" ht="12.75">
      <c r="A108" s="13" t="s">
        <v>78</v>
      </c>
      <c r="B108" s="13"/>
      <c r="C108" s="63" t="s">
        <v>80</v>
      </c>
      <c r="D108" s="13" t="s">
        <v>54</v>
      </c>
      <c r="E108" s="13"/>
      <c r="F108" s="13"/>
      <c r="G108" s="13" t="s">
        <v>55</v>
      </c>
      <c r="H108" s="13"/>
      <c r="I108" s="13"/>
    </row>
    <row r="109" spans="3:9" ht="15.75">
      <c r="C109" s="63" t="s">
        <v>81</v>
      </c>
      <c r="D109" s="63" t="s">
        <v>82</v>
      </c>
      <c r="E109" s="63" t="s">
        <v>83</v>
      </c>
      <c r="F109" s="63" t="s">
        <v>84</v>
      </c>
      <c r="G109" s="63" t="s">
        <v>282</v>
      </c>
      <c r="H109" s="63" t="s">
        <v>283</v>
      </c>
      <c r="I109" s="63" t="s">
        <v>284</v>
      </c>
    </row>
    <row r="110" spans="1:9" ht="12.75">
      <c r="A110" t="s">
        <v>273</v>
      </c>
      <c r="C110" s="126">
        <v>7187.5</v>
      </c>
      <c r="D110" s="125">
        <v>0.685469</v>
      </c>
      <c r="E110" s="125">
        <v>0.000654</v>
      </c>
      <c r="F110" s="125">
        <v>-0.06399</v>
      </c>
      <c r="G110">
        <f>C110*D110</f>
        <v>4926.8084375</v>
      </c>
      <c r="H110">
        <f>C110*E110</f>
        <v>4.700625</v>
      </c>
      <c r="I110">
        <f>C110*F110</f>
        <v>-459.928125</v>
      </c>
    </row>
    <row r="111" spans="1:9" ht="12.75">
      <c r="A111" s="125" t="s">
        <v>274</v>
      </c>
      <c r="C111" s="125">
        <v>150</v>
      </c>
      <c r="D111" s="125">
        <v>1.3</v>
      </c>
      <c r="E111" s="125">
        <v>0</v>
      </c>
      <c r="F111" s="125">
        <v>0</v>
      </c>
      <c r="G111">
        <f>C111*D111</f>
        <v>195</v>
      </c>
      <c r="H111">
        <f>C111*E111</f>
        <v>0</v>
      </c>
      <c r="I111">
        <f>C111*F111</f>
        <v>0</v>
      </c>
    </row>
    <row r="112" spans="1:9" ht="12.75">
      <c r="A112" s="125" t="s">
        <v>276</v>
      </c>
      <c r="C112" s="125">
        <v>100</v>
      </c>
      <c r="D112" s="125">
        <v>1</v>
      </c>
      <c r="E112" s="125">
        <v>0</v>
      </c>
      <c r="F112" s="125">
        <v>0</v>
      </c>
      <c r="G112">
        <f>C112*D112</f>
        <v>100</v>
      </c>
      <c r="H112">
        <f>C112*E112</f>
        <v>0</v>
      </c>
      <c r="I112">
        <f>C112*F112</f>
        <v>0</v>
      </c>
    </row>
    <row r="113" spans="1:9" ht="12.75">
      <c r="A113" t="s">
        <v>275</v>
      </c>
      <c r="C113" s="125">
        <v>150</v>
      </c>
      <c r="D113" s="125">
        <v>1</v>
      </c>
      <c r="E113" s="125">
        <v>0</v>
      </c>
      <c r="F113" s="125">
        <v>0</v>
      </c>
      <c r="G113">
        <f>C113*D113</f>
        <v>150</v>
      </c>
      <c r="H113">
        <f>C113*E113</f>
        <v>0</v>
      </c>
      <c r="I113">
        <f>C113*F113</f>
        <v>0</v>
      </c>
    </row>
    <row r="114" spans="1:9" ht="12.75">
      <c r="A114" s="125" t="s">
        <v>278</v>
      </c>
      <c r="C114" s="125">
        <v>400</v>
      </c>
      <c r="D114" s="125">
        <v>2</v>
      </c>
      <c r="E114" s="125">
        <v>0</v>
      </c>
      <c r="F114" s="125">
        <v>0</v>
      </c>
      <c r="G114">
        <f>C114*D114</f>
        <v>800</v>
      </c>
      <c r="H114">
        <f>C114*E114</f>
        <v>0</v>
      </c>
      <c r="I114">
        <f>C114*F114</f>
        <v>0</v>
      </c>
    </row>
    <row r="115" spans="2:9" ht="12.75">
      <c r="B115" t="s">
        <v>108</v>
      </c>
      <c r="C115" s="64">
        <f>SUM(C110:C114)</f>
        <v>7987.5</v>
      </c>
      <c r="D115">
        <f>G115/C115</f>
        <v>0.772683372456964</v>
      </c>
      <c r="E115">
        <f>H115/C115</f>
        <v>0.0005884976525821595</v>
      </c>
      <c r="F115">
        <f>I115/C115</f>
        <v>-0.05758098591549296</v>
      </c>
      <c r="G115">
        <f>SUM(G110:G114)</f>
        <v>6171.8084375</v>
      </c>
      <c r="H115">
        <f>SUM(H110:H114)</f>
        <v>4.700625</v>
      </c>
      <c r="I115">
        <f>SUM(I110:I114)</f>
        <v>-459.928125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4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63" customWidth="1"/>
    <col min="2" max="2" width="9.140625" style="63" customWidth="1"/>
    <col min="3" max="16384" width="8.8515625" style="63" customWidth="1"/>
  </cols>
  <sheetData>
    <row r="1" spans="1:10" ht="12.75">
      <c r="A1" s="66" t="s">
        <v>161</v>
      </c>
      <c r="J1" s="67"/>
    </row>
    <row r="2" spans="1:10" ht="12.75">
      <c r="A2" s="68" t="s">
        <v>166</v>
      </c>
      <c r="B2" s="54" t="s">
        <v>7</v>
      </c>
      <c r="C2" s="54" t="s">
        <v>6</v>
      </c>
      <c r="J2" s="67"/>
    </row>
    <row r="3" spans="1:10" ht="12.75">
      <c r="A3" s="54" t="s">
        <v>4</v>
      </c>
      <c r="B3" s="130">
        <v>1.5</v>
      </c>
      <c r="C3" s="131">
        <v>0.948</v>
      </c>
      <c r="J3" s="67"/>
    </row>
    <row r="4" spans="1:3" ht="12.75">
      <c r="A4" s="54" t="s">
        <v>9</v>
      </c>
      <c r="B4" s="130">
        <v>1.5</v>
      </c>
      <c r="C4" s="131">
        <v>0.948</v>
      </c>
    </row>
    <row r="5" spans="1:3" ht="12.75">
      <c r="A5" s="54" t="s">
        <v>10</v>
      </c>
      <c r="B5" s="130">
        <v>1.375</v>
      </c>
      <c r="C5" s="131">
        <v>0.96</v>
      </c>
    </row>
    <row r="6" spans="1:10" ht="12.75">
      <c r="A6" s="54" t="s">
        <v>11</v>
      </c>
      <c r="B6" s="130">
        <v>1.25</v>
      </c>
      <c r="C6" s="131">
        <v>0.971</v>
      </c>
      <c r="J6" s="63" t="s">
        <v>164</v>
      </c>
    </row>
    <row r="7" spans="1:10" ht="12.75">
      <c r="A7" s="54" t="s">
        <v>12</v>
      </c>
      <c r="B7" s="130">
        <v>1.125</v>
      </c>
      <c r="C7" s="131">
        <v>0.982</v>
      </c>
      <c r="J7" s="63">
        <f>2*(B7-B8)*(0.5*C14+C13+C12+C11+C10+C9+C8+0.5*C7)/COS(22.5/57.3)+2*(B14-B15)*(0.5*C15+0.5*C14)/COS(22.5/57.3)+2*(B15-B16)*(0.5*C16+0.5*C15)/COS(22.5/57.3)+2*(B16-B17)*(0.5*C17+0.5*C16)/COS(22.5/57.3)</f>
        <v>0.92056353748568</v>
      </c>
    </row>
    <row r="8" spans="1:3" ht="12.75">
      <c r="A8" s="54" t="s">
        <v>13</v>
      </c>
      <c r="B8" s="130">
        <v>1</v>
      </c>
      <c r="C8" s="131">
        <v>0.991</v>
      </c>
    </row>
    <row r="9" spans="1:10" ht="12.75">
      <c r="A9" s="54" t="s">
        <v>14</v>
      </c>
      <c r="B9" s="130">
        <v>0.875</v>
      </c>
      <c r="C9" s="131">
        <v>0.962</v>
      </c>
      <c r="J9" s="63">
        <f>2*(B7-B8)*(0.5*C14+C13+C12+C11+C10+0.5*C9)/COS(22.5/57.3)+2*(B14-B15)*(0.5*C15+0.5*C14)/COS(22.5/57.3)+2*(B15-B16)*(0.5*C16+0.5*C15)/COS(22.5/57.3)+2*(B16-B17)*(0.5*C17+0.5*C16)/COS(22.5/57.3)</f>
        <v>0.3893859289952656</v>
      </c>
    </row>
    <row r="10" spans="1:14" ht="12.75">
      <c r="A10" s="54" t="s">
        <v>15</v>
      </c>
      <c r="B10" s="130">
        <v>0.75</v>
      </c>
      <c r="C10" s="131">
        <v>0.673</v>
      </c>
      <c r="J10" s="63">
        <f>2*(B7-B8)*(0.5*C14+C13+C12+C11+0.5*C10)/COS(22.5/57.3)+2*(B14-B15)*(0.5*C15+0.5*C14)/COS(22.5/57.3)+2*(B15-B16)*(0.5*C16+0.5*C15)/COS(22.5/57.3)+2*(B16-B17)*(0.5*C17+0.5*C16)/COS(22.5/57.3)</f>
        <v>0.1681746732943416</v>
      </c>
      <c r="N10" s="69"/>
    </row>
    <row r="11" spans="1:10" ht="12.75">
      <c r="A11" s="54" t="s">
        <v>16</v>
      </c>
      <c r="B11" s="130">
        <v>0.625</v>
      </c>
      <c r="C11" s="131">
        <v>0.15</v>
      </c>
      <c r="J11" s="63">
        <f>2*(B7-B8)*(0.5*C14+C13+C12+0.5*C11)/COS(22.5/57.3)+2*(B14-B15)*(0.5*C15+0.5*C14)/COS(22.5/57.3)+2*(B15-B16)*(0.5*C16+0.5*C15)/COS(22.5/57.3)+2*(B16-B17)*(0.5*C17+0.5*C16)/COS(22.5/57.3)</f>
        <v>0.056824909721338274</v>
      </c>
    </row>
    <row r="12" spans="1:10" ht="12.75">
      <c r="A12" s="54" t="s">
        <v>17</v>
      </c>
      <c r="B12" s="130">
        <v>0.5</v>
      </c>
      <c r="C12" s="131">
        <v>0.03</v>
      </c>
      <c r="J12" s="63">
        <f>2*(B7-B8)*(0.5*C14+C13+0.5*C12)/COS(22.5/57.3)+2*(B14-B15)*(0.5*C15+0.5*C14)/COS(22.5/57.3)+2*(B15-B16)*(0.5*C16+0.5*C15)/COS(22.5/57.3)+2*(B16-B17)*(0.5*C17+0.5*C16)/COS(22.5/57.3)</f>
        <v>0.03247137698362187</v>
      </c>
    </row>
    <row r="13" spans="1:10" ht="12.75">
      <c r="A13" s="54" t="s">
        <v>18</v>
      </c>
      <c r="B13" s="130">
        <v>0.375</v>
      </c>
      <c r="C13" s="131">
        <v>0.03</v>
      </c>
      <c r="J13" s="63">
        <f>2*(B7-B8)*(0.5*C14+0.5*C13)/COS(22.5/57.3)+2*(B14-B15)*(0.5*C15+0.5*C14)/COS(22.5/57.3)+2*(B15-B16)*(0.5*C16+0.5*C15)/COS(22.5/57.3)+2*(B16-B17)*(0.5*C17+0.5*C16)/COS(22.5/57.3)</f>
        <v>0.0243535327377164</v>
      </c>
    </row>
    <row r="14" spans="1:10" ht="12.75">
      <c r="A14" s="54" t="s">
        <v>19</v>
      </c>
      <c r="B14" s="130">
        <v>0.25</v>
      </c>
      <c r="C14" s="131">
        <v>0.03</v>
      </c>
      <c r="E14" s="63" t="s">
        <v>162</v>
      </c>
      <c r="F14" s="132">
        <v>22.5</v>
      </c>
      <c r="G14" s="63" t="s">
        <v>163</v>
      </c>
      <c r="J14" s="63">
        <f>2*(B14-B15)*(0.5*C15+0.5*C14)/COS(22.5/57.3)+2*(B15-B16)*(0.5*C16+0.5*C15)/COS(22.5/57.3)+2*(B16-B17)*(0.5*C17+0.5*C16)/COS(22.5/57.3)</f>
        <v>0.016235688491810934</v>
      </c>
    </row>
    <row r="15" spans="1:6" ht="15.75">
      <c r="A15" s="54" t="s">
        <v>287</v>
      </c>
      <c r="B15" s="130">
        <v>0.596</v>
      </c>
      <c r="C15" s="131">
        <v>0.03</v>
      </c>
      <c r="E15" s="133" t="s">
        <v>289</v>
      </c>
      <c r="F15" s="132">
        <f>COS(22.5/57.3)</f>
        <v>0.9238906011017519</v>
      </c>
    </row>
    <row r="16" spans="1:5" ht="15.75">
      <c r="A16" s="54" t="s">
        <v>288</v>
      </c>
      <c r="B16" s="130">
        <v>0</v>
      </c>
      <c r="C16" s="131">
        <v>0.03</v>
      </c>
      <c r="E16" s="67" t="s">
        <v>286</v>
      </c>
    </row>
    <row r="17" spans="1:7" ht="15.75">
      <c r="A17" s="54" t="s">
        <v>160</v>
      </c>
      <c r="B17" s="130">
        <v>0</v>
      </c>
      <c r="C17" s="131">
        <v>0.03</v>
      </c>
      <c r="E17" s="63" t="s">
        <v>169</v>
      </c>
      <c r="F17" s="69">
        <f>2*(B7-B8)*(0.5*C14+C13+C12+C11+C10+C9+0.5*C8)/COS(22.5/57.3)+2*(B14-B15)*(0.5*C15+0.5*C14)/COS(22.5/57.3)+2*(B15-B16)*(0.5*C16+0.5*C15)/COS(22.5/57.3)+2*(B16-B17)*(0.5*C17+0.5*C16)/COS(22.5/57.3)</f>
        <v>0.6536217591994884</v>
      </c>
      <c r="G17" s="63" t="s">
        <v>170</v>
      </c>
    </row>
    <row r="19" ht="12.75">
      <c r="A19" s="127" t="s">
        <v>301</v>
      </c>
    </row>
    <row r="20" ht="12.75">
      <c r="B20" s="73" t="s">
        <v>302</v>
      </c>
    </row>
    <row r="28" ht="12.75">
      <c r="A28" s="66">
        <v>0</v>
      </c>
    </row>
    <row r="29" spans="1:3" ht="12.75">
      <c r="A29" s="68" t="s">
        <v>290</v>
      </c>
      <c r="B29" s="54" t="s">
        <v>7</v>
      </c>
      <c r="C29" s="54" t="s">
        <v>6</v>
      </c>
    </row>
    <row r="30" spans="1:3" ht="12.75">
      <c r="A30" s="54" t="s">
        <v>4</v>
      </c>
      <c r="B30" s="134">
        <v>1.49</v>
      </c>
      <c r="C30" s="131">
        <v>0.994</v>
      </c>
    </row>
    <row r="31" spans="1:3" ht="12.75">
      <c r="A31" s="54" t="s">
        <v>9</v>
      </c>
      <c r="B31" s="130">
        <v>1.5</v>
      </c>
      <c r="C31" s="131">
        <v>0.994</v>
      </c>
    </row>
    <row r="32" spans="1:3" ht="12.75">
      <c r="A32" s="54" t="s">
        <v>10</v>
      </c>
      <c r="B32" s="130">
        <v>1.375</v>
      </c>
      <c r="C32" s="135">
        <v>0.994</v>
      </c>
    </row>
    <row r="33" spans="1:13" ht="15.75">
      <c r="A33" s="54" t="s">
        <v>11</v>
      </c>
      <c r="B33" s="130">
        <v>1.25</v>
      </c>
      <c r="C33" s="135">
        <v>0.994</v>
      </c>
      <c r="J33" s="63" t="s">
        <v>164</v>
      </c>
      <c r="K33" s="63" t="s">
        <v>86</v>
      </c>
      <c r="L33" s="63" t="s">
        <v>171</v>
      </c>
      <c r="M33" s="63" t="s">
        <v>165</v>
      </c>
    </row>
    <row r="34" spans="1:13" ht="12.75">
      <c r="A34" s="54" t="s">
        <v>12</v>
      </c>
      <c r="B34" s="130">
        <v>1.125</v>
      </c>
      <c r="C34" s="136">
        <v>0.994</v>
      </c>
      <c r="J34" s="63">
        <f>2*(B35-B36)*(0.5*C35+0.5*C34)</f>
        <v>0.24812499999999998</v>
      </c>
      <c r="K34" s="63">
        <f>2*(B35-B36)*(B35-B36)*(4*C35+4.5*C34)</f>
        <v>0.26365625</v>
      </c>
      <c r="L34" s="63">
        <f>K34/J34</f>
        <v>1.0625944584382871</v>
      </c>
      <c r="M34" s="70">
        <f>SQRT((C34-C35)*(C34-C35)+(B34-B35)*(B34-B35))+C35</f>
        <v>1.1160359948174925</v>
      </c>
    </row>
    <row r="35" spans="1:3" ht="12.75">
      <c r="A35" s="54" t="s">
        <v>13</v>
      </c>
      <c r="B35" s="130">
        <v>1</v>
      </c>
      <c r="C35" s="131">
        <v>0.991</v>
      </c>
    </row>
    <row r="36" spans="1:13" ht="12.75">
      <c r="A36" s="54" t="s">
        <v>14</v>
      </c>
      <c r="B36" s="130">
        <v>0.875</v>
      </c>
      <c r="C36" s="131">
        <v>0</v>
      </c>
      <c r="J36" s="63">
        <f>2*(B35-B36)*(0.5*C41+C40+C39+C38+C37+0.5*C36)+2*(B35-B36)*(C44+C41)</f>
        <v>0</v>
      </c>
      <c r="K36" s="63">
        <f>2*(B35-B36)*(B35-B36)*(C41+3*C40+4*C39+5*C38+6*C37+3.5*C36)+2*2*(B35-B36)*(B35-B36)*0.5*C41</f>
        <v>0</v>
      </c>
      <c r="L36" s="63">
        <v>0</v>
      </c>
      <c r="M36" s="71">
        <v>0</v>
      </c>
    </row>
    <row r="37" spans="1:13" ht="12.75">
      <c r="A37" s="54" t="s">
        <v>15</v>
      </c>
      <c r="B37" s="130">
        <v>0.75</v>
      </c>
      <c r="C37" s="131">
        <v>0</v>
      </c>
      <c r="J37" s="63">
        <f>2*(B35-B36)*(0.5*C41+C40+C39+C38+0.5*C37)+2*(B35-B36)*(C44+C41)</f>
        <v>0</v>
      </c>
      <c r="K37" s="63">
        <f>2*(B35-B36)*(B35-B36)*(C41+3*C40+4*C39+5*C38+3*C37)+2*2*(B35-B36)*(B35-B36)*0.5*C41</f>
        <v>0</v>
      </c>
      <c r="L37" s="63">
        <v>0</v>
      </c>
      <c r="M37" s="71">
        <v>0</v>
      </c>
    </row>
    <row r="38" spans="1:13" ht="12.75">
      <c r="A38" s="54" t="s">
        <v>16</v>
      </c>
      <c r="B38" s="130">
        <v>0.625</v>
      </c>
      <c r="C38" s="131">
        <v>0</v>
      </c>
      <c r="J38" s="63">
        <f>2*(B35-B36)*(0.5*C41+C40+C39+0.5*C38)+2*(B35-B36)*(C44+C41)</f>
        <v>0</v>
      </c>
      <c r="K38" s="63">
        <f>2*(B35-B36)*(B35-B36)*(C41+3*C40+4*C39+2.5*C38)+2*2*(B35-B36)*(B35-B36)*0.5*C41</f>
        <v>0</v>
      </c>
      <c r="L38" s="63">
        <v>0</v>
      </c>
      <c r="M38" s="71">
        <v>0</v>
      </c>
    </row>
    <row r="39" spans="1:13" ht="12.75">
      <c r="A39" s="54" t="s">
        <v>17</v>
      </c>
      <c r="B39" s="130">
        <v>0.5</v>
      </c>
      <c r="C39" s="131">
        <v>0</v>
      </c>
      <c r="J39" s="63">
        <f>2*(B35-B36)*(0.5*C41+C40+0.5*C39)+2*(B35-B36)*(C44+C41)</f>
        <v>0</v>
      </c>
      <c r="K39" s="63">
        <f>2*(B35-B36)*(B35-B36)*(C41+3*C40+2*C39)+2*2*(B35-B36)*(B35-B36)*0.5*C41</f>
        <v>0</v>
      </c>
      <c r="L39" s="63">
        <v>0</v>
      </c>
      <c r="M39" s="71">
        <v>0</v>
      </c>
    </row>
    <row r="40" spans="1:13" ht="12.75">
      <c r="A40" s="54" t="s">
        <v>18</v>
      </c>
      <c r="B40" s="130">
        <v>0.375</v>
      </c>
      <c r="C40" s="131">
        <v>0</v>
      </c>
      <c r="E40" s="63" t="s">
        <v>53</v>
      </c>
      <c r="J40" s="63">
        <f>2*(B35-B36)*(0.5*C41+0.5*C40)+2*(B35-B36)*(C44+C41)</f>
        <v>0</v>
      </c>
      <c r="K40" s="63">
        <f>2*(B35-B36)*(B35-B36)*(C41+1.5*C40)+2*2*(B35-B36)*(B35-B36)*0.5*C41</f>
        <v>0</v>
      </c>
      <c r="L40" s="63">
        <v>0</v>
      </c>
      <c r="M40" s="71">
        <v>0</v>
      </c>
    </row>
    <row r="41" spans="1:13" ht="15.75">
      <c r="A41" s="54" t="s">
        <v>19</v>
      </c>
      <c r="B41" s="130">
        <v>0.25</v>
      </c>
      <c r="C41" s="131">
        <v>0</v>
      </c>
      <c r="E41" s="63" t="s">
        <v>172</v>
      </c>
      <c r="F41" s="72">
        <f>2*(B35-B36)*(0.5*C41+C40+C39+C38+C37+C36)+2*(B35-B36)*(C44+C41)</f>
        <v>0</v>
      </c>
      <c r="G41" s="63" t="s">
        <v>170</v>
      </c>
      <c r="J41" s="63">
        <f>2*(B35-B36)*(C44+C41)</f>
        <v>0</v>
      </c>
      <c r="K41" s="63">
        <f>2*2*(B35-B36)*(B35-B36)*0.5*C41</f>
        <v>0</v>
      </c>
      <c r="L41" s="63">
        <v>0</v>
      </c>
      <c r="M41" s="71">
        <v>0</v>
      </c>
    </row>
    <row r="42" spans="1:13" ht="15.75">
      <c r="A42" s="54" t="s">
        <v>167</v>
      </c>
      <c r="B42" s="130">
        <v>0.6</v>
      </c>
      <c r="C42" s="131">
        <v>0</v>
      </c>
      <c r="M42" s="70"/>
    </row>
    <row r="43" spans="1:5" ht="15.75">
      <c r="A43" s="54" t="s">
        <v>168</v>
      </c>
      <c r="B43" s="130">
        <v>0</v>
      </c>
      <c r="C43" s="131">
        <v>0</v>
      </c>
      <c r="E43" s="63" t="s">
        <v>55</v>
      </c>
    </row>
    <row r="44" spans="1:13" ht="15.75">
      <c r="A44" s="54" t="s">
        <v>160</v>
      </c>
      <c r="B44" s="130">
        <v>0</v>
      </c>
      <c r="C44" s="131">
        <v>0</v>
      </c>
      <c r="E44" s="63" t="s">
        <v>173</v>
      </c>
      <c r="F44" s="72">
        <f>2*(B35-B36)*(B35-B36)*(C41+3*C40+4*C39+5*C38+6*C37+7*C36)+2*B41*(B41-B42)*0.5*C41+2*B42*(B42-B43)*0.5*C42+2*B43*(B43-B44)*0.5*C43</f>
        <v>0</v>
      </c>
      <c r="G44" s="63" t="s">
        <v>174</v>
      </c>
      <c r="M44" s="70">
        <f>C44</f>
        <v>0</v>
      </c>
    </row>
    <row r="46" ht="12.75">
      <c r="E46" s="63" t="s">
        <v>79</v>
      </c>
    </row>
    <row r="47" spans="5:7" ht="15.75">
      <c r="E47" s="63" t="s">
        <v>175</v>
      </c>
      <c r="F47" s="71">
        <f>B35</f>
        <v>1</v>
      </c>
      <c r="G47" s="63" t="s">
        <v>56</v>
      </c>
    </row>
    <row r="49" ht="12.75">
      <c r="E49" s="67" t="s">
        <v>159</v>
      </c>
    </row>
    <row r="50" spans="5:7" ht="15.75">
      <c r="E50" s="63" t="s">
        <v>176</v>
      </c>
      <c r="F50" s="71">
        <f>C35</f>
        <v>0.991</v>
      </c>
      <c r="G50" s="63" t="s">
        <v>56</v>
      </c>
    </row>
    <row r="51" ht="12.75">
      <c r="F51" s="71"/>
    </row>
    <row r="52" ht="12.75">
      <c r="F52" s="71"/>
    </row>
    <row r="53" ht="12.75">
      <c r="A53" s="73"/>
    </row>
    <row r="55" ht="12.75">
      <c r="A55" s="66">
        <v>1</v>
      </c>
    </row>
    <row r="56" spans="1:3" ht="12.75">
      <c r="A56" s="59" t="s">
        <v>291</v>
      </c>
      <c r="B56" s="54" t="s">
        <v>7</v>
      </c>
      <c r="C56" s="54" t="s">
        <v>6</v>
      </c>
    </row>
    <row r="57" spans="1:3" ht="12.75">
      <c r="A57" s="54" t="s">
        <v>4</v>
      </c>
      <c r="B57" s="134">
        <v>1.455</v>
      </c>
      <c r="C57" s="131">
        <v>1.127</v>
      </c>
    </row>
    <row r="58" spans="1:3" ht="12.75">
      <c r="A58" s="54" t="s">
        <v>9</v>
      </c>
      <c r="B58" s="130">
        <v>1.5</v>
      </c>
      <c r="C58" s="131">
        <v>1.127</v>
      </c>
    </row>
    <row r="59" spans="1:3" ht="12.75">
      <c r="A59" s="54" t="s">
        <v>10</v>
      </c>
      <c r="B59" s="130">
        <v>1.375</v>
      </c>
      <c r="C59" s="131">
        <v>1.127</v>
      </c>
    </row>
    <row r="60" spans="1:13" ht="15.75">
      <c r="A60" s="54" t="s">
        <v>11</v>
      </c>
      <c r="B60" s="130">
        <v>1.25</v>
      </c>
      <c r="C60" s="131">
        <v>1.127</v>
      </c>
      <c r="J60" s="63" t="s">
        <v>164</v>
      </c>
      <c r="K60" s="63" t="s">
        <v>86</v>
      </c>
      <c r="L60" s="63" t="s">
        <v>171</v>
      </c>
      <c r="M60" s="63" t="s">
        <v>165</v>
      </c>
    </row>
    <row r="61" spans="1:13" ht="12.75">
      <c r="A61" s="54" t="s">
        <v>12</v>
      </c>
      <c r="B61" s="130">
        <v>1.125</v>
      </c>
      <c r="C61" s="131">
        <v>1.127</v>
      </c>
      <c r="J61" s="63">
        <f>2*(B62-B63)*(0.5*C68+C67+C66+C65+C64+C63+C62+0.5*C61)+2*(B62-B63)*(C71+C68)</f>
        <v>1.259125</v>
      </c>
      <c r="K61" s="63">
        <f>2*(B62-B63)*(B62-B63)*(C68+3*C67+4*C66+5*C65+6*C64+7*C63+8*C62+4.5*C61)+2*2*(B62-B63)*(B62-B63)*0.5*C68</f>
        <v>1.045203125</v>
      </c>
      <c r="L61" s="63">
        <f>K61/J61</f>
        <v>0.8301027499255436</v>
      </c>
      <c r="M61" s="70">
        <f>SQRT((C61-C62)*(C61-C62)+(B61-B62)*(B61-B62))+SQRT((C62-C63)*(C62-C63)+(B62-B63)*(B62-B63))+SQRT((C63-C64)*(C63-C64)+(B63-B64)*(B63-B64))+SQRT((C64-C65)*(C64-C65)+(B64-B65)*(B64-B65))+SQRT((C65-C66)*(C65-C66)+(B65-B66)*(B65-B66))+SQRT((C66-C67)*(C66-C67)+(B66-B67)*(B66-B67))+SQRT((C67-C68)*(C67-C492)+(B67-B68)*(B67-B68))+SQRT((C68-C71)*(C68-C71)+(B68-B71)*(B68-B71))+C71</f>
        <v>1.8921477394684352</v>
      </c>
    </row>
    <row r="62" spans="1:3" ht="12.75">
      <c r="A62" s="54" t="s">
        <v>13</v>
      </c>
      <c r="B62" s="130">
        <v>1</v>
      </c>
      <c r="C62" s="137">
        <v>1.127</v>
      </c>
    </row>
    <row r="63" spans="1:13" ht="12.75">
      <c r="A63" s="54" t="s">
        <v>14</v>
      </c>
      <c r="B63" s="130">
        <v>0.875</v>
      </c>
      <c r="C63" s="131">
        <v>1.11</v>
      </c>
      <c r="J63" s="63">
        <f>2*(B62-B63)*(0.5*C68+C67+C66+C65+C64+0.5*C63)+2*(B62-B63)*(C71+C68)</f>
        <v>0.6977500000000001</v>
      </c>
      <c r="K63" s="63">
        <f>2*(B62-B63)*(B62-B63)*(C68+3*C67+4*C66+5*C65+6*C64+3.5*C63)+2*2*(B62-B63)*(B62-B63)*0.5*C68</f>
        <v>0.4835625</v>
      </c>
      <c r="L63" s="63">
        <f aca="true" t="shared" si="0" ref="L63:L68">K63/J63</f>
        <v>0.693031171623074</v>
      </c>
      <c r="M63" s="70">
        <f>SQRT((C63-C64)*(C63-C64)+(B63-B64)*(B63-B64))+SQRT((C64-C65)*(C64-C65)+(B64-B65)*(B64-B65))+SQRT((C65-C66)*(C65-C66)+(B65-B66)*(B65-B66))+SQRT((C66-C67)*(C66-C67)+(B66-B67)*(B66-B67))+SQRT((C67-C68)*(C67-C492)+(B67-B68)*(B67-B68))+SQRT((C68-C71)*(C68-C71)+(B68-B71)*(B68-B71))+C71</f>
        <v>1.6409970359428503</v>
      </c>
    </row>
    <row r="64" spans="1:13" ht="12.75">
      <c r="A64" s="54" t="s">
        <v>15</v>
      </c>
      <c r="B64" s="130">
        <v>0.75</v>
      </c>
      <c r="C64" s="131">
        <v>1.055</v>
      </c>
      <c r="J64" s="63">
        <f>2*(B62-B63)*(0.5*C68+C67+C66+C65+0.5*C64)+2*(B62-B63)*(C71+C68)</f>
        <v>0.427125</v>
      </c>
      <c r="K64" s="63">
        <f>2*(B62-B63)*(B62-B63)*(C68+3*C67+4*C66+5*C65+3*C64)+2*2*(B62-B63)*(B62-B63)*0.5*C68</f>
        <v>0.26325000000000004</v>
      </c>
      <c r="L64" s="63">
        <f t="shared" si="0"/>
        <v>0.6163301141352064</v>
      </c>
      <c r="M64" s="70">
        <f>SQRT((C64-C65)*(C64-C65)+(B64-B65)*(B64-B65))+SQRT((C65-C66)*(C65-C66)+(B65-B66)*(B65-B66))+SQRT((C66-C67)*(C66-C67)+(B66-B67)*(B66-B67))+SQRT((C67-C68)*(C67-C492)+(B67-B68)*(B67-B68))+SQRT((C68-C71)*(C68-C71)+(B68-B71)*(B68-B71))+C71</f>
        <v>1.5044320331053738</v>
      </c>
    </row>
    <row r="65" spans="1:14" ht="12.75">
      <c r="A65" s="54" t="s">
        <v>16</v>
      </c>
      <c r="B65" s="130">
        <v>0.625</v>
      </c>
      <c r="C65" s="131">
        <v>0.805</v>
      </c>
      <c r="J65" s="63">
        <f>2*(B62-B63)*(0.5*C68+C67+C66+0.5*C65)+2*(B62-B63)*(C71+C68)</f>
        <v>0.194625</v>
      </c>
      <c r="K65" s="63">
        <f>2*(B62-B63)*(B62-B63)*(C68+3*C67+4*C66+2.5*C65)+2*2*(B62-B63)*(B62-B63)*0.5*C68</f>
        <v>0.101453125</v>
      </c>
      <c r="L65" s="63">
        <f t="shared" si="0"/>
        <v>0.5212748876043675</v>
      </c>
      <c r="M65" s="70">
        <f>SQRT((C65-C66)*(C65-C66)+(B65-B66)*(B65-B66))+SQRT((C66-C67)*(C66-C67)+(B66-B67)*(B66-B67))+SQRT((C67-C68)*(C67-C492)+(B67-B68)*(B67-B68))+SQRT((C68-C71)*(C68-C71)+(B68-B71)*(B68-B71))+C71</f>
        <v>1.2249235359179</v>
      </c>
      <c r="N65" s="70"/>
    </row>
    <row r="66" spans="1:13" ht="12.75">
      <c r="A66" s="54" t="s">
        <v>17</v>
      </c>
      <c r="B66" s="130">
        <v>0.5</v>
      </c>
      <c r="C66" s="131">
        <v>0.271</v>
      </c>
      <c r="J66" s="63">
        <f>2*(B62-B63)*(0.5*C68+C67+0.5*C66)+2*(B62-B63)*(C71+C68)</f>
        <v>0.060125</v>
      </c>
      <c r="K66" s="63">
        <f>2*(B62-B63)*(B62-B63)*(C68+3*C67+2*C66)+2*2*(B62-B63)*(B62-B63)*0.5*C68</f>
        <v>0.021625000000000002</v>
      </c>
      <c r="L66" s="63">
        <f t="shared" si="0"/>
        <v>0.3596673596673597</v>
      </c>
      <c r="M66" s="70">
        <f>SQRT((C66-C67)*(C66-C67)+(B66-B67)*(B66-B67))+SQRT((C67-C68)*(C67-C492)+(B67-B68)*(B67-B68))+SQRT((C68-C71)*(C68-C71)+(B68-B71)*(B68-B71))+C71</f>
        <v>0.6764884896270926</v>
      </c>
    </row>
    <row r="67" spans="1:13" ht="12.75">
      <c r="A67" s="54" t="s">
        <v>18</v>
      </c>
      <c r="B67" s="130">
        <v>0.375</v>
      </c>
      <c r="C67" s="131">
        <v>0.03</v>
      </c>
      <c r="E67" s="63" t="s">
        <v>53</v>
      </c>
      <c r="J67" s="63">
        <f>2*(B62-B63)*(0.5*C68+0.5*C67)+2*(B62-B63)*(C71+C68)</f>
        <v>0.0225</v>
      </c>
      <c r="K67" s="63">
        <f>2*(B62-B63)*(B62-B63)*(C68+1.5*C67)+2*2*(B62-B63)*(B62-B63)*0.5*C68</f>
        <v>0.00328125</v>
      </c>
      <c r="L67" s="63">
        <f t="shared" si="0"/>
        <v>0.14583333333333334</v>
      </c>
      <c r="M67" s="70">
        <f>SQRT((C67-C68)*(C67-C492)+(B67-B68)*(B67-B68))+SQRT((C68-C71)*(C68-C71)+(B68-B71)*(B68-B71))+C71</f>
        <v>0.405</v>
      </c>
    </row>
    <row r="68" spans="1:13" ht="15.75">
      <c r="A68" s="54" t="s">
        <v>19</v>
      </c>
      <c r="B68" s="130">
        <v>0.25</v>
      </c>
      <c r="C68" s="131">
        <v>0.03</v>
      </c>
      <c r="E68" s="63" t="s">
        <v>177</v>
      </c>
      <c r="F68" s="72">
        <f>2*(B62-B63)*(0.5*C68+C67+C66+C65+C64+C63+0.5*C62)+2*(B62-B63)*(C71+C68)</f>
        <v>0.9773750000000001</v>
      </c>
      <c r="G68" s="63" t="s">
        <v>170</v>
      </c>
      <c r="J68" s="63">
        <f>2*(B62-B63)*(C71+C68)</f>
        <v>0.015</v>
      </c>
      <c r="K68" s="63">
        <f>2*2*(B62-B63)*(B62-B63)*0.5*C68</f>
        <v>0.0009375</v>
      </c>
      <c r="L68" s="63">
        <f t="shared" si="0"/>
        <v>0.0625</v>
      </c>
      <c r="M68" s="70">
        <f>SQRT((C68-C71)*(C68-C71)+(B68-B71)*(B68-B71))+C71</f>
        <v>0.28</v>
      </c>
    </row>
    <row r="69" spans="1:3" ht="15.75">
      <c r="A69" s="54" t="s">
        <v>167</v>
      </c>
      <c r="B69" s="138">
        <v>0.443</v>
      </c>
      <c r="C69" s="131">
        <v>0.03</v>
      </c>
    </row>
    <row r="70" spans="1:5" ht="15.75">
      <c r="A70" s="54" t="s">
        <v>168</v>
      </c>
      <c r="B70" s="139">
        <v>0</v>
      </c>
      <c r="C70" s="131">
        <v>0.03</v>
      </c>
      <c r="E70" s="63" t="s">
        <v>55</v>
      </c>
    </row>
    <row r="71" spans="1:13" ht="15.75">
      <c r="A71" s="54" t="s">
        <v>160</v>
      </c>
      <c r="B71" s="130">
        <v>0</v>
      </c>
      <c r="C71" s="131">
        <v>0.03</v>
      </c>
      <c r="E71" s="63" t="s">
        <v>178</v>
      </c>
      <c r="F71" s="72">
        <f>2*(B62-B63)*(B62-B63)*(C68+3*C67+4*C66+5*C65+6*C64+7*C63+4*C62)+2*2*(B62-B63)*(B62-B63)*0.5*C68</f>
        <v>0.74584375</v>
      </c>
      <c r="G71" s="63" t="s">
        <v>174</v>
      </c>
      <c r="M71" s="70">
        <f>C71</f>
        <v>0.03</v>
      </c>
    </row>
    <row r="73" ht="12.75">
      <c r="E73" s="63" t="s">
        <v>79</v>
      </c>
    </row>
    <row r="74" spans="5:7" ht="15.75">
      <c r="E74" s="63" t="s">
        <v>179</v>
      </c>
      <c r="F74" s="71">
        <f>F71/F68</f>
        <v>0.7631090932344289</v>
      </c>
      <c r="G74" s="63" t="s">
        <v>56</v>
      </c>
    </row>
    <row r="76" ht="12.75">
      <c r="E76" s="67" t="s">
        <v>159</v>
      </c>
    </row>
    <row r="77" spans="5:7" ht="15.75">
      <c r="E77" s="63" t="s">
        <v>180</v>
      </c>
      <c r="F77" s="71">
        <f>SQRT((C62-C63)*(C62-C63)+(B62-B63)*(B62-B63))+SQRT((C63-C64)*(C63-C64)+(B63-B64)*(B63-B64))+SQRT((C64-C65)*(C64-C65)+(B64-B65)*(B64-B65))+SQRT((C65-C66)*(C65-C66)+(B65-B66)*(B65-B66))+SQRT((C66-C67)*(C66-C67)+(B66-B67)*(B66-B67))+SQRT((C67-C68)*(C67-C492)+(B67-B68)*(B67-B68))+SQRT((C68-C71)*(C68-C71)+(B68-B71)*(B68-B71))+C71</f>
        <v>1.7671477394684352</v>
      </c>
      <c r="G77" s="63" t="s">
        <v>56</v>
      </c>
    </row>
    <row r="82" ht="12.75">
      <c r="A82" s="66">
        <v>2</v>
      </c>
    </row>
    <row r="83" spans="1:3" ht="12.75">
      <c r="A83" s="59" t="s">
        <v>292</v>
      </c>
      <c r="B83" s="54" t="s">
        <v>7</v>
      </c>
      <c r="C83" s="54" t="s">
        <v>6</v>
      </c>
    </row>
    <row r="84" spans="1:3" ht="12.75">
      <c r="A84" s="54" t="s">
        <v>4</v>
      </c>
      <c r="B84" s="134">
        <v>1.455</v>
      </c>
      <c r="C84" s="131">
        <v>1.244</v>
      </c>
    </row>
    <row r="85" spans="1:3" ht="12.75">
      <c r="A85" s="54" t="s">
        <v>9</v>
      </c>
      <c r="B85" s="130">
        <v>1.5</v>
      </c>
      <c r="C85" s="131">
        <v>1.244</v>
      </c>
    </row>
    <row r="86" spans="1:3" ht="12.75">
      <c r="A86" s="54" t="s">
        <v>10</v>
      </c>
      <c r="B86" s="130">
        <v>1.375</v>
      </c>
      <c r="C86" s="131">
        <v>1.244</v>
      </c>
    </row>
    <row r="87" spans="1:13" ht="15.75">
      <c r="A87" s="54" t="s">
        <v>11</v>
      </c>
      <c r="B87" s="130">
        <v>1.25</v>
      </c>
      <c r="C87" s="131">
        <v>1.244</v>
      </c>
      <c r="J87" s="63" t="s">
        <v>164</v>
      </c>
      <c r="K87" s="63" t="s">
        <v>86</v>
      </c>
      <c r="L87" s="63" t="s">
        <v>171</v>
      </c>
      <c r="M87" s="63" t="s">
        <v>165</v>
      </c>
    </row>
    <row r="88" spans="1:13" ht="12.75">
      <c r="A88" s="54" t="s">
        <v>12</v>
      </c>
      <c r="B88" s="130">
        <v>1.125</v>
      </c>
      <c r="C88" s="131">
        <v>1.244</v>
      </c>
      <c r="J88" s="63">
        <f>2*(B89-B90)*(0.5*C95+C94+C93+C92+C91+C90+C89+0.5*C88)+2*(B89-B90)*(C98+C95)</f>
        <v>1.6844999999999997</v>
      </c>
      <c r="K88" s="63">
        <f>2*(B89-B90)*(B89-B90)*(C95+3*C94+4*C93+5*C92+6*C91+7*C90+8*C89+4.5*C88)+2*2*(B89-B90)*(B89-B90)*0.5*C95</f>
        <v>1.30334375</v>
      </c>
      <c r="L88" s="63">
        <f>K88/J88</f>
        <v>0.7737273671712676</v>
      </c>
      <c r="M88" s="70">
        <f>SQRT((C88-C89)*(C88-C89)+(B88-B89)*(B88-B89))+SQRT((C89-C90)*(C89-C90)+(B89-B90)*(B89-B90))+SQRT((C90-C91)*(C90-C91)+(B90-B91)*(B90-B91))+SQRT((C91-C92)*(C91-C92)+(B91-B92)*(B91-B92))+SQRT((C92-C93)*(C92-C93)+(B92-B93)*(B92-B93))+SQRT((C93-C94)*(C93-C94)+(B93-B94)*(B93-B94))+SQRT((C94-C95)*(C94-C519)+(B94-B95)*(B94-B95))+SQRT((C95-C98)*(C95-C98)+(B95-B98)*(B95-B98))+C98</f>
        <v>1.9865819192994492</v>
      </c>
    </row>
    <row r="89" spans="1:3" ht="12.75">
      <c r="A89" s="54" t="s">
        <v>13</v>
      </c>
      <c r="B89" s="130">
        <v>1</v>
      </c>
      <c r="C89" s="137">
        <v>1.244</v>
      </c>
    </row>
    <row r="90" spans="1:13" ht="12.75">
      <c r="A90" s="54" t="s">
        <v>14</v>
      </c>
      <c r="B90" s="130">
        <v>0.875</v>
      </c>
      <c r="C90" s="131">
        <v>1.238</v>
      </c>
      <c r="J90" s="63">
        <f>2*(B89-B90)*(0.5*C95+C94+C93+C92+C91+0.5*C90)+2*(B89-B90)*(C98+C95)</f>
        <v>1.0632499999999998</v>
      </c>
      <c r="K90" s="63">
        <f>2*(B89-B90)*(B89-B90)*(C95+3*C94+4*C93+5*C92+6*C91+3.5*C90)+2*2*(B89-B90)*(B89-B90)*0.5*C95</f>
        <v>0.6819999999999999</v>
      </c>
      <c r="L90" s="63">
        <f aca="true" t="shared" si="1" ref="L90:L95">K90/J90</f>
        <v>0.6414295791206208</v>
      </c>
      <c r="M90" s="70">
        <f>SQRT((C90-C91)*(C90-C91)+(B90-B91)*(B90-B91))+SQRT((C91-C92)*(C91-C92)+(B91-B92)*(B91-B92))+SQRT((C92-C93)*(C92-C93)+(B92-B93)*(B92-B93))+SQRT((C93-C94)*(C93-C94)+(B93-B94)*(B93-B94))+SQRT((C94-C95)*(C94-C519)+(B94-B95)*(B94-B95))+SQRT((C95-C98)*(C95-C98)+(B95-B98)*(B95-B98))+C98</f>
        <v>1.7364380021480348</v>
      </c>
    </row>
    <row r="91" spans="1:13" ht="12.75">
      <c r="A91" s="54" t="s">
        <v>15</v>
      </c>
      <c r="B91" s="130">
        <v>0.75</v>
      </c>
      <c r="C91" s="131">
        <v>1.215</v>
      </c>
      <c r="J91" s="63">
        <f>2*(B89-B90)*(0.5*C95+C94+C93+C92+0.5*C91)+2*(B89-B90)*(C98+C95)</f>
        <v>0.756625</v>
      </c>
      <c r="K91" s="63">
        <f>2*(B89-B90)*(B89-B90)*(C95+3*C94+4*C93+5*C92+3*C91)+2*2*(B89-B90)*(B89-B90)*0.5*C95</f>
        <v>0.43268749999999995</v>
      </c>
      <c r="L91" s="63">
        <f t="shared" si="1"/>
        <v>0.5718651908144721</v>
      </c>
      <c r="M91" s="70">
        <f>SQRT((C91-C92)*(C91-C92)+(B91-B92)*(B91-B92))+SQRT((C92-C93)*(C92-C93)+(B92-B93)*(B92-B93))+SQRT((C93-C94)*(C93-C94)+(B93-B94)*(B93-B94))+SQRT((C94-C95)*(C94-C519)+(B94-B95)*(B94-B95))+SQRT((C95-C98)*(C95-C98)+(B95-B98)*(B95-B98))+C98</f>
        <v>1.6093396150614947</v>
      </c>
    </row>
    <row r="92" spans="1:13" ht="12.75">
      <c r="A92" s="54" t="s">
        <v>16</v>
      </c>
      <c r="B92" s="130">
        <v>0.625</v>
      </c>
      <c r="C92" s="131">
        <v>1.127</v>
      </c>
      <c r="J92" s="63">
        <f>2*(B89-B90)*(0.5*C95+C94+C93+0.5*C92)+2*(B89-B90)*(C98+C95)</f>
        <v>0.46387500000000004</v>
      </c>
      <c r="K92" s="63">
        <f>2*(B89-B90)*(B89-B90)*(C95+3*C94+4*C93+2.5*C92)+2*2*(B89-B90)*(B89-B90)*0.5*C95</f>
        <v>0.230734375</v>
      </c>
      <c r="L92" s="63">
        <f t="shared" si="1"/>
        <v>0.4974063594718404</v>
      </c>
      <c r="M92" s="70">
        <f>SQRT((C92-C93)*(C92-C93)+(B92-B93)*(B92-B93))+SQRT((C93-C94)*(C93-C94)+(B93-B94)*(B93-B94))+SQRT((C94-C95)*(C94-C519)+(B94-B95)*(B94-B95))+SQRT((C95-C98)*(C95-C98)+(B95-B98)*(B95-B98))+C98</f>
        <v>1.456470389904827</v>
      </c>
    </row>
    <row r="93" spans="1:13" ht="12.75">
      <c r="A93" s="54" t="s">
        <v>17</v>
      </c>
      <c r="B93" s="130">
        <v>0.5</v>
      </c>
      <c r="C93" s="131">
        <v>0.855</v>
      </c>
      <c r="J93" s="63">
        <f>2*(B89-B90)*(0.5*C95+C94+0.5*C93)+2*(B89-B90)*(C98+C95)</f>
        <v>0.216125</v>
      </c>
      <c r="K93" s="63">
        <f>2*(B89-B90)*(B89-B90)*(C95+3*C94+2*C93)+2*2*(B89-B90)*(B89-B90)*0.5*C95</f>
        <v>0.08924999999999998</v>
      </c>
      <c r="L93" s="63">
        <f t="shared" si="1"/>
        <v>0.41295546558704443</v>
      </c>
      <c r="M93" s="70">
        <f>SQRT((C93-C94)*(C93-C94)+(B93-B94)*(B93-B94))+SQRT((C94-C95)*(C94-C519)+(B94-B95)*(B94-B95))+SQRT((C95-C98)*(C95-C98)+(B95-B98)*(B95-B98))+C98</f>
        <v>1.1571227658955492</v>
      </c>
    </row>
    <row r="94" spans="1:13" ht="12.75">
      <c r="A94" s="54" t="s">
        <v>18</v>
      </c>
      <c r="B94" s="130">
        <v>0.375</v>
      </c>
      <c r="C94" s="131">
        <v>0.362</v>
      </c>
      <c r="E94" s="63" t="s">
        <v>53</v>
      </c>
      <c r="J94" s="63">
        <f>2*(B89-B90)*(0.5*C95+0.5*C94)+2*(B89-B90)*(C98+C95)</f>
        <v>0.064</v>
      </c>
      <c r="K94" s="63">
        <f>2*(B89-B90)*(B89-B90)*(C95+1.5*C94)+2*2*(B89-B90)*(B89-B90)*0.5*C95</f>
        <v>0.01884375</v>
      </c>
      <c r="L94" s="63">
        <f t="shared" si="1"/>
        <v>0.29443359375</v>
      </c>
      <c r="M94" s="70">
        <f>SQRT((C94-C95)*(C94-C519)+(B94-B95)*(B94-B95))+SQRT((C95-C98)*(C95-C98)+(B95-B98)*(B95-B98))+C98</f>
        <v>0.6485227265719171</v>
      </c>
    </row>
    <row r="95" spans="1:14" ht="15.75">
      <c r="A95" s="54" t="s">
        <v>19</v>
      </c>
      <c r="B95" s="130">
        <v>0.25</v>
      </c>
      <c r="C95" s="131">
        <v>0.03</v>
      </c>
      <c r="E95" s="63" t="s">
        <v>181</v>
      </c>
      <c r="F95" s="72">
        <f>2*(B89-B90)*(0.5*C95+C94+C93+C92+C91+C90+0.5*C89)+2*(B89-B90)*(C98+C95)</f>
        <v>1.3734999999999997</v>
      </c>
      <c r="G95" s="63" t="s">
        <v>170</v>
      </c>
      <c r="J95" s="63">
        <f>2*(B89-B90)*(C98+C95)</f>
        <v>0.015</v>
      </c>
      <c r="K95" s="63">
        <f>2*2*(B89-B90)*(B89-B90)*0.5*C95</f>
        <v>0.0009375</v>
      </c>
      <c r="L95" s="63">
        <f t="shared" si="1"/>
        <v>0.0625</v>
      </c>
      <c r="M95" s="70">
        <f>SQRT((C95-C98)*(C95-C98)+(B95-B98)*(B95-B98))+C98</f>
        <v>0.28</v>
      </c>
      <c r="N95" s="70"/>
    </row>
    <row r="96" spans="1:3" ht="15.75">
      <c r="A96" s="54" t="s">
        <v>167</v>
      </c>
      <c r="B96" s="130">
        <v>0.29</v>
      </c>
      <c r="C96" s="131">
        <v>0.03</v>
      </c>
    </row>
    <row r="97" spans="1:5" ht="15.75">
      <c r="A97" s="54" t="s">
        <v>168</v>
      </c>
      <c r="B97" s="139">
        <v>0</v>
      </c>
      <c r="C97" s="131">
        <v>0.03</v>
      </c>
      <c r="E97" s="63" t="s">
        <v>55</v>
      </c>
    </row>
    <row r="98" spans="1:13" ht="15.75">
      <c r="A98" s="54" t="s">
        <v>160</v>
      </c>
      <c r="B98" s="130">
        <v>0</v>
      </c>
      <c r="C98" s="131">
        <v>0.03</v>
      </c>
      <c r="E98" s="63" t="s">
        <v>182</v>
      </c>
      <c r="F98" s="72">
        <f>2*(B89-B90)*(B89-B90)*(C95+3*C94+4*C93+5*C92+6*C91+7*C90+4*C89)+2*2*(B89-B90)*(B89-B90)*0.5*C95</f>
        <v>0.97290625</v>
      </c>
      <c r="G98" s="63" t="s">
        <v>174</v>
      </c>
      <c r="M98" s="70">
        <f>C98</f>
        <v>0.03</v>
      </c>
    </row>
    <row r="100" ht="12.75">
      <c r="E100" s="63" t="s">
        <v>79</v>
      </c>
    </row>
    <row r="101" spans="5:7" ht="15.75">
      <c r="E101" s="63" t="s">
        <v>183</v>
      </c>
      <c r="F101" s="71">
        <f>F98/F95</f>
        <v>0.7083409173643976</v>
      </c>
      <c r="G101" s="63" t="s">
        <v>56</v>
      </c>
    </row>
    <row r="103" ht="12.75">
      <c r="E103" s="67" t="s">
        <v>159</v>
      </c>
    </row>
    <row r="104" spans="5:7" ht="15.75">
      <c r="E104" s="63" t="s">
        <v>184</v>
      </c>
      <c r="F104" s="71">
        <f>SQRT((C89-C90)*(C89-C90)+(B89-B90)*(B89-B90))+SQRT((C90-C91)*(C90-C91)+(B90-B91)*(B90-B91))+SQRT((C91-C92)*(C91-C92)+(B91-B92)*(B91-B92))+SQRT((C92-C93)*(C92-C93)+(B92-B93)*(B92-B93))+SQRT((C93-C94)*(C93-C94)+(B93-B94)*(B93-B94))+SQRT((C94-C95)*(C94-C519)+(B94-B95)*(B94-B95))+SQRT((C95-C98)*(C95-C98)+(B95-B98)*(B95-B98))+C98</f>
        <v>1.8615819192994492</v>
      </c>
      <c r="G104" s="63" t="s">
        <v>56</v>
      </c>
    </row>
    <row r="105" ht="12.75">
      <c r="E105" s="67"/>
    </row>
    <row r="106" ht="12.75">
      <c r="F106" s="71"/>
    </row>
    <row r="108" ht="12.75">
      <c r="A108" s="66">
        <v>3</v>
      </c>
    </row>
    <row r="109" spans="1:3" ht="12.75">
      <c r="A109" s="59" t="s">
        <v>293</v>
      </c>
      <c r="B109" s="54" t="s">
        <v>7</v>
      </c>
      <c r="C109" s="54" t="s">
        <v>6</v>
      </c>
    </row>
    <row r="110" spans="1:3" ht="12.75">
      <c r="A110" s="54" t="s">
        <v>4</v>
      </c>
      <c r="B110" s="134">
        <v>1.409</v>
      </c>
      <c r="C110" s="131">
        <v>1.326</v>
      </c>
    </row>
    <row r="111" spans="1:3" ht="12.75">
      <c r="A111" s="54" t="s">
        <v>9</v>
      </c>
      <c r="B111" s="130">
        <v>1.5</v>
      </c>
      <c r="C111" s="131">
        <v>1.326</v>
      </c>
    </row>
    <row r="112" spans="1:3" ht="12.75">
      <c r="A112" s="54" t="s">
        <v>10</v>
      </c>
      <c r="B112" s="130">
        <v>1.375</v>
      </c>
      <c r="C112" s="131">
        <v>1.326</v>
      </c>
    </row>
    <row r="113" spans="1:13" ht="15.75">
      <c r="A113" s="54" t="s">
        <v>11</v>
      </c>
      <c r="B113" s="130">
        <v>1.25</v>
      </c>
      <c r="C113" s="131">
        <v>1.326</v>
      </c>
      <c r="J113" s="63" t="s">
        <v>164</v>
      </c>
      <c r="K113" s="63" t="s">
        <v>86</v>
      </c>
      <c r="L113" s="63" t="s">
        <v>171</v>
      </c>
      <c r="M113" s="63" t="s">
        <v>165</v>
      </c>
    </row>
    <row r="114" spans="1:13" ht="12.75">
      <c r="A114" s="54" t="s">
        <v>12</v>
      </c>
      <c r="B114" s="130">
        <v>1.125</v>
      </c>
      <c r="C114" s="131">
        <v>1.326</v>
      </c>
      <c r="J114" s="63">
        <f>2*(B115-B116)*(0.5*C121+C120+C119+C118+C117+C116+C115+0.5*C114)+2*(B115-B116)*(C124+C121)</f>
        <v>2.03025</v>
      </c>
      <c r="K114" s="63">
        <f>2*(B115-B116)*(B115-B116)*(C121+3*C120+4*C119+5*C118+6*C117+7*C116+8*C115+4.5*C114)+2*2*(B115-B116)*(B115-B116)*0.5*C121</f>
        <v>1.4700624999999998</v>
      </c>
      <c r="L114" s="63">
        <f>K114/J114</f>
        <v>0.7240795468538356</v>
      </c>
      <c r="M114" s="70">
        <f>SQRT((C114-C115)*(C114-C115)+(B114-B115)*(B114-B115))+SQRT((C115-C116)*(C115-C116)+(B115-B116)*(B115-B116))+SQRT((C116-C117)*(C116-C117)+(B116-B117)*(B116-B117))+SQRT((C117-C118)*(C117-C118)+(B117-B118)*(B117-B118))+SQRT((C118-C119)*(C118-C119)+(B118-B119)*(B118-B119))+SQRT((C119-C120)*(C119-C120)+(B119-B120)*(B119-B120))+SQRT((C120-C121)*(C120-C545)+(B120-B121)*(B120-B121))+SQRT((C121-C124)*(C121-C124)+(B121-B124)*(B121-B124))+C124</f>
        <v>2.0698638834755934</v>
      </c>
    </row>
    <row r="115" spans="1:3" ht="12.75">
      <c r="A115" s="54" t="s">
        <v>13</v>
      </c>
      <c r="B115" s="130">
        <v>1</v>
      </c>
      <c r="C115" s="137">
        <v>1.326</v>
      </c>
    </row>
    <row r="116" spans="1:13" ht="12.75">
      <c r="A116" s="54" t="s">
        <v>14</v>
      </c>
      <c r="B116" s="130">
        <v>0.875</v>
      </c>
      <c r="C116" s="131">
        <v>1.322</v>
      </c>
      <c r="J116" s="63">
        <f>2*(B115-B116)*(0.5*C121+C120+C119+C118+C117+0.5*C116)+2*(B115-B116)*(C124+C121)</f>
        <v>1.3677500000000002</v>
      </c>
      <c r="K116" s="63">
        <f>2*(B115-B116)*(B115-B116)*(C121+3*C120+4*C119+5*C118+6*C117+3.5*C116)+2*2*(B115-B116)*(B115-B116)*0.5*C121</f>
        <v>0.8074999999999999</v>
      </c>
      <c r="L116" s="63">
        <f aca="true" t="shared" si="2" ref="L116:L121">K116/J116</f>
        <v>0.5903856698958141</v>
      </c>
      <c r="M116" s="70">
        <f>SQRT((C116-C117)*(C116-C117)+(B116-B117)*(B116-B117))+SQRT((C117-C118)*(C117-C118)+(B117-B118)*(B117-B118))+SQRT((C118-C119)*(C118-C119)+(B118-B119)*(B118-B119))+SQRT((C119-C120)*(C119-C120)+(B119-B120)*(B119-B120))+SQRT((C120-C121)*(C120-C545)+(B120-B121)*(B120-B121))+SQRT((C121-C124)*(C121-C124)+(B121-B124)*(B121-B124))+C124</f>
        <v>1.819799899851211</v>
      </c>
    </row>
    <row r="117" spans="1:13" ht="12.75">
      <c r="A117" s="54" t="s">
        <v>15</v>
      </c>
      <c r="B117" s="130">
        <v>0.75</v>
      </c>
      <c r="C117" s="131">
        <v>1.31</v>
      </c>
      <c r="J117" s="63">
        <f>2*(B115-B116)*(0.5*C121+C120+C119+C118+0.5*C117)+2*(B115-B116)*(C124+C121)</f>
        <v>1.03875</v>
      </c>
      <c r="K117" s="63">
        <f>2*(B115-B116)*(B115-B116)*(C121+3*C120+4*C119+5*C118+3*C117)+2*2*(B115-B116)*(B115-B116)*0.5*C121</f>
        <v>0.54009375</v>
      </c>
      <c r="L117" s="63">
        <f t="shared" si="2"/>
        <v>0.5199458483754513</v>
      </c>
      <c r="M117" s="70">
        <f>SQRT((C117-C118)*(C117-C118)+(B117-B118)*(B117-B118))+SQRT((C118-C119)*(C118-C119)+(B118-B119)*(B118-B119))+SQRT((C119-C120)*(C119-C120)+(B119-B120)*(B119-B120))+SQRT((C120-C121)*(C120-C545)+(B120-B121)*(B120-B121))+SQRT((C121-C124)*(C121-C124)+(B121-B124)*(B121-B124))+C124</f>
        <v>1.6942252208749142</v>
      </c>
    </row>
    <row r="118" spans="1:13" ht="12.75">
      <c r="A118" s="54" t="s">
        <v>16</v>
      </c>
      <c r="B118" s="130">
        <v>0.625</v>
      </c>
      <c r="C118" s="131">
        <v>1.254</v>
      </c>
      <c r="J118" s="63">
        <f>2*(B115-B116)*(0.5*C121+C120+C119+0.5*C118)+2*(B115-B116)*(C124+C121)</f>
        <v>0.71825</v>
      </c>
      <c r="K118" s="63">
        <f>2*(B115-B116)*(B115-B116)*(C121+3*C120+4*C119+2.5*C118)+2*2*(B115-B116)*(B115-B116)*0.5*C121</f>
        <v>0.3193125</v>
      </c>
      <c r="L118" s="63">
        <f t="shared" si="2"/>
        <v>0.4445701357466063</v>
      </c>
      <c r="M118" s="70">
        <f>SQRT((C118-C119)*(C118-C119)+(B118-B119)*(B118-B119))+SQRT((C119-C120)*(C119-C120)+(B119-B120)*(B119-B120))+SQRT((C120-C121)*(C120-C545)+(B120-B121)*(B120-B121))+SQRT((C121-C124)*(C121-C124)+(B121-B124)*(B121-B124))+C124</f>
        <v>1.5572544210670718</v>
      </c>
    </row>
    <row r="119" spans="1:13" ht="12.75">
      <c r="A119" s="54" t="s">
        <v>17</v>
      </c>
      <c r="B119" s="130">
        <v>0.5</v>
      </c>
      <c r="C119" s="131">
        <v>1.1</v>
      </c>
      <c r="J119" s="63">
        <f>2*(B115-B116)*(0.5*C121+C120+0.5*C119)+2*(B115-B116)*(C124+C121)</f>
        <v>0.424</v>
      </c>
      <c r="K119" s="63">
        <f>2*(B115-B116)*(B115-B116)*(C121+3*C120+2*C119)+2*2*(B115-B116)*(B115-B116)*0.5*C121</f>
        <v>0.15259375</v>
      </c>
      <c r="L119" s="63">
        <f t="shared" si="2"/>
        <v>0.35989091981132076</v>
      </c>
      <c r="M119" s="70">
        <f>SQRT((C119-C120)*(C119-C120)+(B119-B120)*(B119-B120))+SQRT((C120-C121)*(C120-C545)+(B120-B121)*(B120-B121))+SQRT((C121-C124)*(C121-C124)+(B121-B124)*(B121-B124))+C124</f>
        <v>1.3589087631866936</v>
      </c>
    </row>
    <row r="120" spans="1:13" ht="12.75">
      <c r="A120" s="54" t="s">
        <v>18</v>
      </c>
      <c r="B120" s="130">
        <v>0.375</v>
      </c>
      <c r="C120" s="131">
        <v>0.717</v>
      </c>
      <c r="E120" s="63" t="s">
        <v>53</v>
      </c>
      <c r="J120" s="63">
        <f>2*(B115-B116)*(0.5*C121+0.5*C120)+2*(B115-B116)*(C124+C121)</f>
        <v>0.19687500000000002</v>
      </c>
      <c r="K120" s="63">
        <f>2*(B115-B116)*(B115-B116)*(C121+1.5*C120)+2*2*(B115-B116)*(B115-B116)*0.5*C121</f>
        <v>0.050234375</v>
      </c>
      <c r="L120" s="63">
        <f t="shared" si="2"/>
        <v>0.25515873015873014</v>
      </c>
      <c r="M120" s="70">
        <f>SQRT((C120-C121)*(C120-C545)+(B120-B121)*(B120-B121))+SQRT((C121-C124)*(C121-C124)+(B121-B124)*(B121-B124))+C124</f>
        <v>0.9560266464329215</v>
      </c>
    </row>
    <row r="121" spans="1:14" ht="15.75">
      <c r="A121" s="54" t="s">
        <v>19</v>
      </c>
      <c r="B121" s="130">
        <v>0.25</v>
      </c>
      <c r="C121" s="131">
        <v>0.266</v>
      </c>
      <c r="E121" s="63" t="s">
        <v>185</v>
      </c>
      <c r="F121" s="72">
        <f>2*(B115-B116)*(0.5*C121+C120+C119+C118+C117+C116+0.5*C115)+2*(B115-B116)*(C124+C121)</f>
        <v>1.6987500000000002</v>
      </c>
      <c r="G121" s="63" t="s">
        <v>170</v>
      </c>
      <c r="J121" s="63">
        <f>2*(B115-B116)*(C124+C121)</f>
        <v>0.07400000000000001</v>
      </c>
      <c r="K121" s="63">
        <f>2*2*(B115-B116)*(B115-B116)*0.5*C121</f>
        <v>0.0083125</v>
      </c>
      <c r="L121" s="63">
        <f t="shared" si="2"/>
        <v>0.11233108108108107</v>
      </c>
      <c r="M121" s="70">
        <f>SQRT((C121-C124)*(C121-C124)+(B121-B124)*(B121-B124))+C124</f>
        <v>0.3737964514069335</v>
      </c>
      <c r="N121" s="70"/>
    </row>
    <row r="122" spans="1:3" ht="15.75">
      <c r="A122" s="54" t="s">
        <v>167</v>
      </c>
      <c r="B122" s="130">
        <v>0.193</v>
      </c>
      <c r="C122" s="131">
        <v>0.03</v>
      </c>
    </row>
    <row r="123" spans="1:5" ht="15.75">
      <c r="A123" s="54" t="s">
        <v>168</v>
      </c>
      <c r="B123" s="139">
        <v>0</v>
      </c>
      <c r="C123" s="131">
        <v>0.03</v>
      </c>
      <c r="E123" s="63" t="s">
        <v>55</v>
      </c>
    </row>
    <row r="124" spans="1:13" ht="15.75">
      <c r="A124" s="54" t="s">
        <v>160</v>
      </c>
      <c r="B124" s="130">
        <v>0</v>
      </c>
      <c r="C124" s="131">
        <v>0.03</v>
      </c>
      <c r="E124" s="63" t="s">
        <v>186</v>
      </c>
      <c r="F124" s="72">
        <f>2*(B115-B116)*(B115-B116)*(C121+3*C120+4*C119+5*C118+6*C117+7*C116+4*C115)+2*2*(B115-B116)*(B115-B116)*0.5*C121</f>
        <v>1.11784375</v>
      </c>
      <c r="G124" s="63" t="s">
        <v>174</v>
      </c>
      <c r="M124" s="70">
        <f>C124</f>
        <v>0.03</v>
      </c>
    </row>
    <row r="126" ht="12.75">
      <c r="E126" s="63" t="s">
        <v>79</v>
      </c>
    </row>
    <row r="127" spans="5:7" ht="15.75">
      <c r="E127" s="63" t="s">
        <v>187</v>
      </c>
      <c r="F127" s="71">
        <f>F124/F121</f>
        <v>0.6580389992641648</v>
      </c>
      <c r="G127" s="63" t="s">
        <v>56</v>
      </c>
    </row>
    <row r="129" ht="12.75">
      <c r="E129" s="67" t="s">
        <v>159</v>
      </c>
    </row>
    <row r="130" spans="5:7" ht="15.75">
      <c r="E130" s="63" t="s">
        <v>188</v>
      </c>
      <c r="F130" s="71">
        <f>SQRT((C115-C116)*(C115-C116)+(B115-B116)*(B115-B116))+SQRT((C116-C117)*(C116-C117)+(B116-B117)*(B116-B117))+SQRT((C117-C118)*(C117-C118)+(B117-B118)*(B117-B118))+SQRT((C118-C119)*(C118-C119)+(B118-B119)*(B118-B119))+SQRT((C119-C120)*(C119-C120)+(B119-B120)*(B119-B120))+SQRT((C120-C121)*(C120-C545)+(B120-B121)*(B120-B121))+SQRT((C121-C124)*(C121-C124)+(B121-B124)*(B121-B124))+C124</f>
        <v>1.9448638834755942</v>
      </c>
      <c r="G130" s="63" t="s">
        <v>56</v>
      </c>
    </row>
    <row r="131" ht="12.75">
      <c r="E131" s="67"/>
    </row>
    <row r="132" ht="12.75">
      <c r="F132" s="71"/>
    </row>
    <row r="135" ht="12.75">
      <c r="A135" s="66">
        <v>4</v>
      </c>
    </row>
    <row r="136" spans="1:3" ht="12.75">
      <c r="A136" s="59" t="s">
        <v>294</v>
      </c>
      <c r="B136" s="54" t="s">
        <v>7</v>
      </c>
      <c r="C136" s="54" t="s">
        <v>6</v>
      </c>
    </row>
    <row r="137" spans="1:3" ht="12.75">
      <c r="A137" s="54" t="s">
        <v>4</v>
      </c>
      <c r="B137" s="134">
        <v>1.401</v>
      </c>
      <c r="C137" s="131">
        <v>1.382</v>
      </c>
    </row>
    <row r="138" spans="1:3" ht="12.75">
      <c r="A138" s="54" t="s">
        <v>9</v>
      </c>
      <c r="B138" s="130">
        <v>1.5</v>
      </c>
      <c r="C138" s="131">
        <v>1.382</v>
      </c>
    </row>
    <row r="139" spans="1:3" ht="12.75">
      <c r="A139" s="54" t="s">
        <v>10</v>
      </c>
      <c r="B139" s="130">
        <v>1.375</v>
      </c>
      <c r="C139" s="131">
        <v>1.382</v>
      </c>
    </row>
    <row r="140" spans="1:13" ht="15.75">
      <c r="A140" s="54" t="s">
        <v>11</v>
      </c>
      <c r="B140" s="130">
        <v>1.25</v>
      </c>
      <c r="C140" s="131">
        <v>1.382</v>
      </c>
      <c r="J140" s="63" t="s">
        <v>164</v>
      </c>
      <c r="K140" s="63" t="s">
        <v>86</v>
      </c>
      <c r="L140" s="63" t="s">
        <v>171</v>
      </c>
      <c r="M140" s="63" t="s">
        <v>165</v>
      </c>
    </row>
    <row r="141" spans="1:13" ht="12.75">
      <c r="A141" s="54" t="s">
        <v>12</v>
      </c>
      <c r="B141" s="130">
        <v>1.125</v>
      </c>
      <c r="C141" s="131">
        <v>1.382</v>
      </c>
      <c r="J141" s="63">
        <f>2*(B142-B143)*(0.5*C148+C147+C146+C145+C144+C143+C142+0.5*C141)+2*(B142-B143)*(C151+C148)</f>
        <v>2.2723750000000003</v>
      </c>
      <c r="K141" s="63">
        <f>2*(B142-B143)*(B142-B143)*(C148+3*C147+4*C146+5*C145+6*C144+7*C143+8*C142+4.5*C141)+2*2*(B142-B143)*(B142-B143)*0.5*C148</f>
        <v>1.57375</v>
      </c>
      <c r="L141" s="63">
        <f>K141/J141</f>
        <v>0.6925573463886902</v>
      </c>
      <c r="M141" s="70">
        <f>SQRT((C141-C142)*(C141-C142)+(B141-B142)*(B141-B142))+SQRT((C142-C143)*(C142-C143)+(B142-B143)*(B142-B143))+SQRT((C143-C144)*(C143-C144)+(B143-B144)*(B143-B144))+SQRT((C144-C145)*(C144-C145)+(B144-B145)*(B144-B145))+SQRT((C145-C146)*(C145-C146)+(B145-B146)*(B145-B146))+SQRT((C146-C147)*(C146-C147)+(B146-B147)*(B146-B147))+SQRT((C147-C148)*(C147-C572)+(B147-B148)*(B147-B148))+SQRT((C148-C151)*(C148-C151)+(B148-B151)*(B148-B151))+C151</f>
        <v>2.1933527511361617</v>
      </c>
    </row>
    <row r="142" spans="1:3" ht="12.75">
      <c r="A142" s="54" t="s">
        <v>13</v>
      </c>
      <c r="B142" s="130">
        <v>1</v>
      </c>
      <c r="C142" s="137">
        <v>1.379</v>
      </c>
    </row>
    <row r="143" spans="1:13" ht="12.75">
      <c r="A143" s="54" t="s">
        <v>14</v>
      </c>
      <c r="B143" s="130">
        <v>0.875</v>
      </c>
      <c r="C143" s="131">
        <v>1.375</v>
      </c>
      <c r="J143" s="63">
        <f>2*(B142-B143)*(0.5*C148+C147+C146+C145+C144+0.5*C143)+2*(B142-B143)*(C151+C148)</f>
        <v>1.5830000000000002</v>
      </c>
      <c r="K143" s="63">
        <f>2*(B142-B143)*(B142-B143)*(C148+3*C147+4*C146+5*C145+6*C144+3.5*C143)+2*2*(B142-B143)*(B142-B143)*0.5*C148</f>
        <v>0.884265625</v>
      </c>
      <c r="L143" s="63">
        <f aca="true" t="shared" si="3" ref="L143:L148">K143/J143</f>
        <v>0.5586011528742892</v>
      </c>
      <c r="M143" s="70">
        <f>SQRT((C143-C144)*(C143-C144)+(B143-B144)*(B143-B144))+SQRT((C144-C145)*(C144-C145)+(B144-B145)*(B144-B145))+SQRT((C145-C146)*(C145-C146)+(B145-B146)*(B145-B146))+SQRT((C146-C147)*(C146-C147)+(B146-B147)*(B146-B147))+SQRT((C147-C148)*(C147-C572)+(B147-B148)*(B147-B148))+SQRT((C148-C151)*(C148-C151)+(B148-B151)*(B148-B151))+C151</f>
        <v>1.943252772694286</v>
      </c>
    </row>
    <row r="144" spans="1:13" ht="12.75">
      <c r="A144" s="54" t="s">
        <v>15</v>
      </c>
      <c r="B144" s="130">
        <v>0.75</v>
      </c>
      <c r="C144" s="131">
        <v>1.366</v>
      </c>
      <c r="J144" s="63">
        <f>2*(B142-B143)*(0.5*C148+C147+C146+C145+0.5*C144)+2*(B142-B143)*(C151+C148)</f>
        <v>1.240375</v>
      </c>
      <c r="K144" s="63">
        <f>2*(B142-B143)*(B142-B143)*(C148+3*C147+4*C146+5*C145+3*C144)+2*2*(B142-B143)*(B142-B143)*0.5*C148</f>
        <v>0.6058125</v>
      </c>
      <c r="L144" s="63">
        <f t="shared" si="3"/>
        <v>0.48841076287413077</v>
      </c>
      <c r="M144" s="70">
        <f>SQRT((C144-C145)*(C144-C145)+(B144-B145)*(B144-B145))+SQRT((C145-C146)*(C145-C146)+(B145-B146)*(B145-B146))+SQRT((C146-C147)*(C146-C147)+(B146-B147)*(B146-B147))+SQRT((C147-C148)*(C147-C572)+(B147-B148)*(B147-B148))+SQRT((C148-C151)*(C148-C151)+(B148-B151)*(B148-B151))+C151</f>
        <v>1.8179291915134086</v>
      </c>
    </row>
    <row r="145" spans="1:13" ht="12.75">
      <c r="A145" s="54" t="s">
        <v>16</v>
      </c>
      <c r="B145" s="130">
        <v>0.625</v>
      </c>
      <c r="C145" s="131">
        <v>1.325</v>
      </c>
      <c r="J145" s="63">
        <f>2*(B142-B143)*(0.5*C148+C147+C146+0.5*C145)+2*(B142-B143)*(C151+C148)</f>
        <v>0.9040000000000001</v>
      </c>
      <c r="K145" s="63">
        <f>2*(B142-B143)*(B142-B143)*(C148+3*C147+4*C146+2.5*C145)+2*2*(B142-B143)*(B142-B143)*0.5*C148</f>
        <v>0.374234375</v>
      </c>
      <c r="L145" s="63">
        <f t="shared" si="3"/>
        <v>0.41397607853982293</v>
      </c>
      <c r="M145" s="70">
        <f>SQRT((C145-C146)*(C145-C146)+(B145-B146)*(B145-B146))+SQRT((C146-C147)*(C146-C147)+(B146-B147)*(B146-B147))+SQRT((C147-C148)*(C147-C572)+(B147-B148)*(B147-B148))+SQRT((C148-C151)*(C148-C151)+(B148-B151)*(B148-B151))+C151</f>
        <v>1.6863769205333907</v>
      </c>
    </row>
    <row r="146" spans="1:13" ht="12.75">
      <c r="A146" s="54" t="s">
        <v>17</v>
      </c>
      <c r="B146" s="130">
        <v>0.5</v>
      </c>
      <c r="C146" s="131">
        <v>1.205</v>
      </c>
      <c r="J146" s="63">
        <f>2*(B142-B143)*(0.5*C148+C147+0.5*C146)+2*(B142-B143)*(C151+C148)</f>
        <v>0.58775</v>
      </c>
      <c r="K146" s="63">
        <f>2*(B142-B143)*(B142-B143)*(C148+3*C147+2*C146)+2*2*(B142-B143)*(B142-B143)*0.5*C148</f>
        <v>0.19540625</v>
      </c>
      <c r="L146" s="63">
        <f t="shared" si="3"/>
        <v>0.3324649085495534</v>
      </c>
      <c r="M146" s="70">
        <f>SQRT((C146-C147)*(C146-C147)+(B146-B147)*(B146-B147))+SQRT((C147-C148)*(C147-C572)+(B147-B148)*(B147-B148))+SQRT((C148-C151)*(C148-C151)+(B148-B151)*(B148-B151))+C151</f>
        <v>1.5130996860217565</v>
      </c>
    </row>
    <row r="147" spans="1:13" ht="12.75">
      <c r="A147" s="54" t="s">
        <v>18</v>
      </c>
      <c r="B147" s="130">
        <v>0.375</v>
      </c>
      <c r="C147" s="131">
        <v>0.931</v>
      </c>
      <c r="E147" s="63" t="s">
        <v>53</v>
      </c>
      <c r="J147" s="63">
        <f>2*(B142-B143)*(0.5*C148+0.5*C147)+2*(B142-B143)*(C151+C148)</f>
        <v>0.32075</v>
      </c>
      <c r="K147" s="63">
        <f>2*(B142-B143)*(B142-B143)*(C148+1.5*C147)+2*2*(B142-B143)*(B142-B143)*0.5*C148</f>
        <v>0.076453125</v>
      </c>
      <c r="L147" s="63">
        <f t="shared" si="3"/>
        <v>0.23835736554949338</v>
      </c>
      <c r="M147" s="70">
        <f>SQRT((C147-C148)*(C147-C572)+(B147-B148)*(B147-B148))+SQRT((C148-C151)*(C148-C151)+(B148-B151)*(B148-B151))+C151</f>
        <v>1.21193361887607</v>
      </c>
    </row>
    <row r="148" spans="1:14" ht="15.75">
      <c r="A148" s="54" t="s">
        <v>19</v>
      </c>
      <c r="B148" s="130">
        <v>0.25</v>
      </c>
      <c r="C148" s="131">
        <v>0.525</v>
      </c>
      <c r="E148" s="63" t="s">
        <v>189</v>
      </c>
      <c r="F148" s="72">
        <f>2*(B142-B143)*(0.5*C148+C147+C146+C145+C144+C143+0.5*C142)+2*(B142-B143)*(C151+C148)</f>
        <v>1.9272500000000001</v>
      </c>
      <c r="G148" s="63" t="s">
        <v>170</v>
      </c>
      <c r="J148" s="63">
        <f>2*(B142-B143)*(C151+C148)</f>
        <v>0.13875</v>
      </c>
      <c r="K148" s="63">
        <f>2*2*(B142-B143)*(B142-B143)*0.5*C148</f>
        <v>0.01640625</v>
      </c>
      <c r="L148" s="63">
        <f t="shared" si="3"/>
        <v>0.11824324324324324</v>
      </c>
      <c r="M148" s="70">
        <f>SQRT((C148-C151)*(C148-C151)+(B148-B151)*(B148-B151))+C151</f>
        <v>0.5845493666031907</v>
      </c>
      <c r="N148" s="70"/>
    </row>
    <row r="149" spans="1:3" ht="15.75">
      <c r="A149" s="54" t="s">
        <v>167</v>
      </c>
      <c r="B149" s="130">
        <v>0.099</v>
      </c>
      <c r="C149" s="131">
        <v>0.03</v>
      </c>
    </row>
    <row r="150" spans="1:5" ht="15.75">
      <c r="A150" s="54" t="s">
        <v>168</v>
      </c>
      <c r="B150" s="139">
        <v>0</v>
      </c>
      <c r="C150" s="131">
        <v>0.03</v>
      </c>
      <c r="E150" s="63" t="s">
        <v>55</v>
      </c>
    </row>
    <row r="151" spans="1:13" ht="15.75">
      <c r="A151" s="54" t="s">
        <v>160</v>
      </c>
      <c r="B151" s="130">
        <v>0</v>
      </c>
      <c r="C151" s="131">
        <v>0.03</v>
      </c>
      <c r="E151" s="63" t="s">
        <v>190</v>
      </c>
      <c r="F151" s="72">
        <f>2*(B142-B143)*(B142-B143)*(C148+3*C147+4*C146+5*C145+6*C144+7*C143+4*C142)+2*2*(B142-B143)*(B142-B143)*0.5*C148</f>
        <v>1.20703125</v>
      </c>
      <c r="G151" s="63" t="s">
        <v>174</v>
      </c>
      <c r="M151" s="70">
        <f>C151</f>
        <v>0.03</v>
      </c>
    </row>
    <row r="153" ht="12.75">
      <c r="E153" s="63" t="s">
        <v>79</v>
      </c>
    </row>
    <row r="154" spans="5:7" ht="15.75">
      <c r="E154" s="63" t="s">
        <v>191</v>
      </c>
      <c r="F154" s="71">
        <f>F151/F148</f>
        <v>0.6262971851083149</v>
      </c>
      <c r="G154" s="63" t="s">
        <v>56</v>
      </c>
    </row>
    <row r="156" ht="12.75">
      <c r="E156" s="67" t="s">
        <v>159</v>
      </c>
    </row>
    <row r="157" spans="5:7" ht="15.75">
      <c r="E157" s="63" t="s">
        <v>192</v>
      </c>
      <c r="F157" s="71">
        <f>SQRT((C142-C143)*(C142-C143)+(B142-B143)*(B142-B143))+SQRT((C143-C144)*(C143-C144)+(B143-B144)*(B143-B144))+SQRT((C144-C145)*(C144-C145)+(B144-B145)*(B144-B145))+SQRT((C145-C146)*(C145-C146)+(B145-B146)*(B145-B146))+SQRT((C146-C147)*(C146-C147)+(B146-B147)*(B146-B147))+SQRT((C147-C148)*(C147-C572)+(B147-B148)*(B147-B148))+SQRT((C148-C151)*(C148-C151)+(B148-B151)*(B148-B151))+C151</f>
        <v>2.068316756318669</v>
      </c>
      <c r="G157" s="63" t="s">
        <v>56</v>
      </c>
    </row>
    <row r="158" ht="12.75">
      <c r="E158" s="67"/>
    </row>
    <row r="159" ht="12.75">
      <c r="F159" s="71"/>
    </row>
    <row r="161" ht="12.75">
      <c r="A161" s="66">
        <v>5</v>
      </c>
    </row>
    <row r="162" spans="1:3" ht="12.75">
      <c r="A162" s="59" t="s">
        <v>295</v>
      </c>
      <c r="B162" s="54" t="s">
        <v>7</v>
      </c>
      <c r="C162" s="54" t="s">
        <v>6</v>
      </c>
    </row>
    <row r="163" spans="1:3" ht="12.75">
      <c r="A163" s="54" t="s">
        <v>4</v>
      </c>
      <c r="B163" s="134">
        <v>1.4</v>
      </c>
      <c r="C163" s="131">
        <v>1.382</v>
      </c>
    </row>
    <row r="164" spans="1:3" ht="12.75">
      <c r="A164" s="54" t="s">
        <v>9</v>
      </c>
      <c r="B164" s="130">
        <v>1.5</v>
      </c>
      <c r="C164" s="131">
        <v>1.382</v>
      </c>
    </row>
    <row r="165" spans="1:3" ht="12.75">
      <c r="A165" s="54" t="s">
        <v>10</v>
      </c>
      <c r="B165" s="130">
        <v>1.375</v>
      </c>
      <c r="C165" s="131">
        <v>1.4</v>
      </c>
    </row>
    <row r="166" spans="1:13" ht="15.75">
      <c r="A166" s="54" t="s">
        <v>11</v>
      </c>
      <c r="B166" s="130">
        <v>1.25</v>
      </c>
      <c r="C166" s="131">
        <v>1.4</v>
      </c>
      <c r="J166" s="63" t="s">
        <v>164</v>
      </c>
      <c r="K166" s="63" t="s">
        <v>86</v>
      </c>
      <c r="L166" s="63" t="s">
        <v>171</v>
      </c>
      <c r="M166" s="63" t="s">
        <v>165</v>
      </c>
    </row>
    <row r="167" spans="1:13" ht="12.75">
      <c r="A167" s="54" t="s">
        <v>12</v>
      </c>
      <c r="B167" s="130">
        <v>1.125</v>
      </c>
      <c r="C167" s="131">
        <v>1.4</v>
      </c>
      <c r="J167" s="63">
        <f>2*(B168-B169)*(0.5*C174+C173+C172+C171+C170+C169+C168+0.5*C167)+2*(B168-B169)*(C177+C174)</f>
        <v>2.3736249999999997</v>
      </c>
      <c r="K167" s="63">
        <f>2*(B168-B169)*(B168-B169)*(C174+3*C173+4*C172+5*C171+6*C170+7*C169+8*C168+4.5*C167)+2*2*(B168-B169)*(B168-B169)*0.5*C174</f>
        <v>1.6155312499999999</v>
      </c>
      <c r="L167" s="63">
        <f>K167/J167</f>
        <v>0.6806177260519248</v>
      </c>
      <c r="M167" s="70">
        <f>SQRT((C167-C168)*(C167-C168)+(B167-B168)*(B167-B168))+SQRT((C168-C169)*(C168-C169)+(B168-B169)*(B168-B169))+SQRT((C169-C170)*(C169-C170)+(B169-B170)*(B169-B170))+SQRT((C170-C171)*(C170-C171)+(B170-B171)*(B170-B171))+SQRT((C171-C172)*(C171-C172)+(B171-B172)*(B171-B172))+SQRT((C172-C173)*(C172-C173)+(B172-B173)*(B172-B173))+SQRT((C173-C174)*(C173-C598)+(B173-B174)*(B173-B174))+SQRT((C174-C177)*(C174-C177)+(B174-B177)*(B174-B177))+C177</f>
        <v>2.2545403139480458</v>
      </c>
    </row>
    <row r="168" spans="1:3" ht="12.75">
      <c r="A168" s="54" t="s">
        <v>13</v>
      </c>
      <c r="B168" s="130">
        <v>1</v>
      </c>
      <c r="C168" s="137">
        <v>1.398</v>
      </c>
    </row>
    <row r="169" spans="1:13" ht="12.75">
      <c r="A169" s="54" t="s">
        <v>14</v>
      </c>
      <c r="B169" s="130">
        <v>0.875</v>
      </c>
      <c r="C169" s="131">
        <v>1.395</v>
      </c>
      <c r="J169" s="63">
        <f>2*(B168-B169)*(0.5*C174+C173+C172+C171+C170+0.5*C169)+2*(B168-B169)*(C177+C174)</f>
        <v>1.67475</v>
      </c>
      <c r="K169" s="63">
        <f>2*(B168-B169)*(B168-B169)*(C174+3*C173+4*C172+5*C171+6*C170+3.5*C169)+2*2*(B168-B169)*(B168-B169)*0.5*C174</f>
        <v>0.916578125</v>
      </c>
      <c r="L169" s="63">
        <f aca="true" t="shared" si="4" ref="L169:L174">K169/J169</f>
        <v>0.5472925063442305</v>
      </c>
      <c r="M169" s="70">
        <f>SQRT((C169-C170)*(C169-C170)+(B169-B170)*(B169-B170))+SQRT((C170-C171)*(C170-C171)+(B170-B171)*(B170-B171))+SQRT((C171-C172)*(C171-C172)+(B171-B172)*(B171-B172))+SQRT((C172-C173)*(C172-C173)+(B172-B173)*(B172-B173))+SQRT((C173-C174)*(C173-C598)+(B173-B174)*(B173-B174))+SQRT((C174-C177)*(C174-C177)+(B174-B177)*(B174-B177))+C177</f>
        <v>2.0044883201544224</v>
      </c>
    </row>
    <row r="170" spans="1:13" ht="12.75">
      <c r="A170" s="54" t="s">
        <v>15</v>
      </c>
      <c r="B170" s="130">
        <v>0.75</v>
      </c>
      <c r="C170" s="131">
        <v>1.387</v>
      </c>
      <c r="J170" s="63">
        <f>2*(B168-B169)*(0.5*C174+C173+C172+C171+0.5*C170)+2*(B168-B169)*(C177+C174)</f>
        <v>1.327</v>
      </c>
      <c r="K170" s="63">
        <f>2*(B168-B169)*(B168-B169)*(C174+3*C173+4*C172+5*C171+3*C170)+2*2*(B168-B169)*(B168-B169)*0.5*C174</f>
        <v>0.6339687500000001</v>
      </c>
      <c r="L170" s="63">
        <f t="shared" si="4"/>
        <v>0.47774585531273556</v>
      </c>
      <c r="M170" s="70">
        <f>SQRT((C170-C171)*(C170-C171)+(B170-B171)*(B170-B171))+SQRT((C171-C172)*(C171-C172)+(B171-B172)*(B171-B172))+SQRT((C172-C173)*(C172-C173)+(B172-B173)*(B172-B173))+SQRT((C173-C174)*(C173-C598)+(B173-B174)*(B173-B174))+SQRT((C174-C177)*(C174-C177)+(B174-B177)*(B174-B177))+C177</f>
        <v>1.879232581762922</v>
      </c>
    </row>
    <row r="171" spans="1:13" ht="12.75">
      <c r="A171" s="54" t="s">
        <v>16</v>
      </c>
      <c r="B171" s="130">
        <v>0.625</v>
      </c>
      <c r="C171" s="131">
        <v>1.355</v>
      </c>
      <c r="J171" s="63">
        <f>2*(B168-B169)*(0.5*C174+C173+C172+0.5*C171)+2*(B168-B169)*(C177+C174)</f>
        <v>0.9842500000000001</v>
      </c>
      <c r="K171" s="63">
        <f>2*(B168-B169)*(B168-B169)*(C174+3*C173+4*C172+2.5*C171)+2*2*(B168-B169)*(B168-B169)*0.5*C174</f>
        <v>0.398078125</v>
      </c>
      <c r="L171" s="63">
        <f t="shared" si="4"/>
        <v>0.4044481838963678</v>
      </c>
      <c r="M171" s="70">
        <f>SQRT((C171-C172)*(C171-C172)+(B171-B172)*(B171-B172))+SQRT((C172-C173)*(C172-C173)+(B172-B173)*(B172-B173))+SQRT((C173-C174)*(C173-C598)+(B173-B174)*(B173-B174))+SQRT((C174-C177)*(C174-C177)+(B174-B177)*(B174-B177))+C177</f>
        <v>1.7502015777367579</v>
      </c>
    </row>
    <row r="172" spans="1:13" ht="12.75">
      <c r="A172" s="54" t="s">
        <v>17</v>
      </c>
      <c r="B172" s="130">
        <v>0.5</v>
      </c>
      <c r="C172" s="131">
        <v>1.25</v>
      </c>
      <c r="J172" s="63">
        <f>2*(B168-B169)*(0.5*C174+C173+0.5*C172)+2*(B168-B169)*(C177+C174)</f>
        <v>0.658625</v>
      </c>
      <c r="K172" s="63">
        <f>2*(B168-B169)*(B168-B169)*(C174+3*C173+2*C172)+2*2*(B168-B169)*(B168-B169)*0.5*C174</f>
        <v>0.21409374999999997</v>
      </c>
      <c r="L172" s="63">
        <f t="shared" si="4"/>
        <v>0.3250616815334978</v>
      </c>
      <c r="M172" s="70">
        <f>SQRT((C172-C173)*(C172-C173)+(B172-B173)*(B172-B173))+SQRT((C173-C174)*(C173-C598)+(B173-B174)*(B173-B174))+SQRT((C174-C177)*(C174-C177)+(B174-B177)*(B174-B177))+C177</f>
        <v>1.5869533005636127</v>
      </c>
    </row>
    <row r="173" spans="1:13" ht="12.75">
      <c r="A173" s="54" t="s">
        <v>18</v>
      </c>
      <c r="B173" s="130">
        <v>0.375</v>
      </c>
      <c r="C173" s="131">
        <v>1.027</v>
      </c>
      <c r="E173" s="63" t="s">
        <v>53</v>
      </c>
      <c r="J173" s="63">
        <f>2*(B168-B169)*(0.5*C174+0.5*C173)+2*(B168-B169)*(C177+C174)</f>
        <v>0.374</v>
      </c>
      <c r="K173" s="63">
        <f>2*(B168-B169)*(B168-B169)*(C174+1.5*C173)+2*2*(B168-B169)*(B168-B169)*0.5*C174</f>
        <v>0.08782812499999998</v>
      </c>
      <c r="L173" s="63">
        <f t="shared" si="4"/>
        <v>0.23483455882352935</v>
      </c>
      <c r="M173" s="70">
        <f>SQRT((C173-C174)*(C173-C598)+(B173-B174)*(B173-B174))+SQRT((C174-C177)*(C174-C177)+(B174-B177)*(B174-B177))+C177</f>
        <v>1.3313090164499248</v>
      </c>
    </row>
    <row r="174" spans="1:14" ht="15.75">
      <c r="A174" s="54" t="s">
        <v>19</v>
      </c>
      <c r="B174" s="130">
        <v>0.25</v>
      </c>
      <c r="C174" s="131">
        <v>0.635</v>
      </c>
      <c r="E174" s="63" t="s">
        <v>193</v>
      </c>
      <c r="F174" s="72">
        <f>2*(B168-B169)*(0.5*C174+C173+C172+C171+C170+C169+0.5*C168)+2*(B168-B169)*(C177+C174)</f>
        <v>2.0238750000000003</v>
      </c>
      <c r="G174" s="63" t="s">
        <v>170</v>
      </c>
      <c r="J174" s="63">
        <f>2*(B168-B169)*(C177+C174)</f>
        <v>0.16625</v>
      </c>
      <c r="K174" s="63">
        <f>2*2*(B168-B169)*(B168-B169)*0.5*C174</f>
        <v>0.01984375</v>
      </c>
      <c r="L174" s="63">
        <f t="shared" si="4"/>
        <v>0.1193609022556391</v>
      </c>
      <c r="M174" s="70">
        <f>SQRT((C174-C177)*(C174-C177)+(B174-B177)*(B174-B177))+C177</f>
        <v>0.6846182093403758</v>
      </c>
      <c r="N174" s="70"/>
    </row>
    <row r="175" spans="1:3" ht="15.75">
      <c r="A175" s="54" t="s">
        <v>167</v>
      </c>
      <c r="B175" s="130">
        <v>0.05</v>
      </c>
      <c r="C175" s="131">
        <v>0.03</v>
      </c>
    </row>
    <row r="176" spans="1:5" ht="15.75">
      <c r="A176" s="54" t="s">
        <v>168</v>
      </c>
      <c r="B176" s="139">
        <v>0</v>
      </c>
      <c r="C176" s="131">
        <v>0.03</v>
      </c>
      <c r="E176" s="63" t="s">
        <v>55</v>
      </c>
    </row>
    <row r="177" spans="1:13" ht="15.75">
      <c r="A177" s="54" t="s">
        <v>160</v>
      </c>
      <c r="B177" s="130">
        <v>0</v>
      </c>
      <c r="C177" s="131">
        <v>0.03</v>
      </c>
      <c r="E177" s="63" t="s">
        <v>194</v>
      </c>
      <c r="F177" s="72">
        <f>2*(B168-B169)*(B168-B169)*(C174+3*C173+4*C172+5*C171+6*C170+7*C169+4*C168)+2*2*(B168-B169)*(B168-B169)*0.5*C174</f>
        <v>1.24390625</v>
      </c>
      <c r="G177" s="63" t="s">
        <v>174</v>
      </c>
      <c r="M177" s="70">
        <f>C177</f>
        <v>0.03</v>
      </c>
    </row>
    <row r="179" ht="12.75">
      <c r="E179" s="63" t="s">
        <v>79</v>
      </c>
    </row>
    <row r="180" spans="5:7" ht="15.75">
      <c r="E180" s="63" t="s">
        <v>195</v>
      </c>
      <c r="F180" s="71">
        <f>F177/F174</f>
        <v>0.6146161447717867</v>
      </c>
      <c r="G180" s="63" t="s">
        <v>56</v>
      </c>
    </row>
    <row r="182" ht="12.75">
      <c r="E182" s="67" t="s">
        <v>159</v>
      </c>
    </row>
    <row r="183" spans="5:7" ht="15.75">
      <c r="E183" s="63" t="s">
        <v>196</v>
      </c>
      <c r="F183" s="71">
        <f>SQRT((C168-C169)*(C168-C169)+(B168-B169)*(B168-B169))+SQRT((C169-C170)*(C169-C170)+(B169-B170)*(B169-B170))+SQRT((C170-C171)*(C170-C171)+(B170-B171)*(B170-B171))+SQRT((C171-C172)*(C171-C172)+(B171-B172)*(B171-B172))+SQRT((C172-C173)*(C172-C173)+(B172-B173)*(B172-B173))+SQRT((C173-C174)*(C173-C598)+(B173-B174)*(B173-B174))+SQRT((C174-C177)*(C174-C177)+(B174-B177)*(B174-B177))+C177</f>
        <v>2.1295243149719147</v>
      </c>
      <c r="G183" s="63" t="s">
        <v>56</v>
      </c>
    </row>
    <row r="184" ht="12.75">
      <c r="E184" s="67"/>
    </row>
    <row r="185" ht="12.75">
      <c r="F185" s="71"/>
    </row>
    <row r="188" ht="12.75">
      <c r="A188" s="66">
        <v>6</v>
      </c>
    </row>
    <row r="189" spans="1:3" ht="12.75">
      <c r="A189" s="59" t="s">
        <v>296</v>
      </c>
      <c r="B189" s="54" t="s">
        <v>7</v>
      </c>
      <c r="C189" s="54" t="s">
        <v>6</v>
      </c>
    </row>
    <row r="190" spans="1:3" ht="12.75">
      <c r="A190" s="54" t="s">
        <v>4</v>
      </c>
      <c r="B190" s="134">
        <v>1.403</v>
      </c>
      <c r="C190" s="131">
        <v>1.385</v>
      </c>
    </row>
    <row r="191" spans="1:3" ht="12.75">
      <c r="A191" s="54" t="s">
        <v>9</v>
      </c>
      <c r="B191" s="130">
        <v>1.5</v>
      </c>
      <c r="C191" s="131">
        <v>1.385</v>
      </c>
    </row>
    <row r="192" spans="1:3" ht="12.75">
      <c r="A192" s="54" t="s">
        <v>10</v>
      </c>
      <c r="B192" s="130">
        <v>1.375</v>
      </c>
      <c r="C192" s="131">
        <v>1.385</v>
      </c>
    </row>
    <row r="193" spans="1:13" ht="15.75">
      <c r="A193" s="54" t="s">
        <v>11</v>
      </c>
      <c r="B193" s="130">
        <v>1.25</v>
      </c>
      <c r="C193" s="131">
        <v>1.385</v>
      </c>
      <c r="J193" s="63" t="s">
        <v>164</v>
      </c>
      <c r="K193" s="63" t="s">
        <v>86</v>
      </c>
      <c r="L193" s="63" t="s">
        <v>171</v>
      </c>
      <c r="M193" s="63" t="s">
        <v>165</v>
      </c>
    </row>
    <row r="194" spans="1:13" ht="12.75">
      <c r="A194" s="54" t="s">
        <v>12</v>
      </c>
      <c r="B194" s="130">
        <v>1.125</v>
      </c>
      <c r="C194" s="131">
        <v>1.385</v>
      </c>
      <c r="J194" s="63">
        <f>2*(B195-B196)*(0.5*C201+C200+C199+C198+C197+C196+C195+0.5*C194)+2*(B195-B196)*(C204+C201)</f>
        <v>2.322</v>
      </c>
      <c r="K194" s="63">
        <f>2*(B195-B196)*(B195-B196)*(C201+3*C200+4*C199+5*C198+6*C197+7*C196+8*C195+4.5*C194)+2*2*(B195-B196)*(B195-B196)*0.5*C201</f>
        <v>1.579703125</v>
      </c>
      <c r="L194" s="63">
        <f>K194/J194</f>
        <v>0.6803200366063737</v>
      </c>
      <c r="M194" s="70">
        <f>SQRT((C194-C195)*(C194-C195)+(B194-B195)*(B194-B195))+SQRT((C195-C196)*(C195-C196)+(B195-B196)*(B195-B196))+SQRT((C196-C197)*(C196-C197)+(B196-B197)*(B196-B197))+SQRT((C197-C198)*(C197-C198)+(B197-B198)*(B197-B198))+SQRT((C198-C199)*(C198-C199)+(B198-B199)*(B198-B199))+SQRT((C199-C200)*(C199-C200)+(B199-B200)*(B199-B200))+SQRT((C200-C201)*(C200-C625)+(B200-B201)*(B200-B201))+SQRT((C201-C204)*(C201-C204)+(B201-B204)*(B201-B204))+C204</f>
        <v>2.2147817732821107</v>
      </c>
    </row>
    <row r="195" spans="1:3" ht="12.75">
      <c r="A195" s="54" t="s">
        <v>13</v>
      </c>
      <c r="B195" s="130">
        <v>1</v>
      </c>
      <c r="C195" s="137">
        <v>1.377</v>
      </c>
    </row>
    <row r="196" spans="1:13" ht="12.75">
      <c r="A196" s="54" t="s">
        <v>14</v>
      </c>
      <c r="B196" s="130">
        <v>0.875</v>
      </c>
      <c r="C196" s="131">
        <v>1.365</v>
      </c>
      <c r="J196" s="63">
        <f>2*(B195-B196)*(0.5*C201+C200+C199+C198+C197+0.5*C196)+2*(B195-B196)*(C204+C201)</f>
        <v>1.6340000000000001</v>
      </c>
      <c r="K196" s="63">
        <f>2*(B195-B196)*(B195-B196)*(C201+3*C200+4*C199+5*C198+6*C197+3.5*C196)+2*2*(B195-B196)*(B195-B196)*0.5*C201</f>
        <v>0.8913906250000001</v>
      </c>
      <c r="L196" s="63">
        <f aca="true" t="shared" si="5" ref="L196:L201">K196/J196</f>
        <v>0.5455266982864138</v>
      </c>
      <c r="M196" s="70">
        <f>SQRT((C196-C197)*(C196-C197)+(B196-B197)*(B196-B197))+SQRT((C197-C198)*(C197-C198)+(B197-B198)*(B197-B198))+SQRT((C198-C199)*(C198-C199)+(B198-B199)*(B198-B199))+SQRT((C199-C200)*(C199-C200)+(B199-B200)*(B199-B200))+SQRT((C200-C201)*(C200-C625)+(B200-B201)*(B200-B201))+SQRT((C201-C204)*(C201-C204)+(B201-B204)*(B201-B204))+C204</f>
        <v>1.9639513559143136</v>
      </c>
    </row>
    <row r="197" spans="1:13" ht="12.75">
      <c r="A197" s="54" t="s">
        <v>15</v>
      </c>
      <c r="B197" s="130">
        <v>0.75</v>
      </c>
      <c r="C197" s="131">
        <v>1.345</v>
      </c>
      <c r="J197" s="63">
        <f>2*(B195-B196)*(0.5*C201+C200+C199+C198+0.5*C197)+2*(B195-B196)*(C204+C201)</f>
        <v>1.29525</v>
      </c>
      <c r="K197" s="63">
        <f>2*(B195-B196)*(B195-B196)*(C201+3*C200+4*C199+5*C198+3*C197)+2*2*(B195-B196)*(B195-B196)*0.5*C201</f>
        <v>0.6160000000000001</v>
      </c>
      <c r="L197" s="63">
        <f t="shared" si="5"/>
        <v>0.475583864118896</v>
      </c>
      <c r="M197" s="70">
        <f>SQRT((C197-C198)*(C197-C198)+(B197-B198)*(B197-B198))+SQRT((C198-C199)*(C198-C199)+(B198-B199)*(B198-B199))+SQRT((C199-C200)*(C199-C200)+(B199-B200)*(B199-B200))+SQRT((C200-C201)*(C200-C625)+(B200-B201)*(B200-B201))+SQRT((C201-C204)*(C201-C204)+(B201-B204)*(B201-B204))+C204</f>
        <v>1.837361466902592</v>
      </c>
    </row>
    <row r="198" spans="1:13" ht="12.75">
      <c r="A198" s="54" t="s">
        <v>16</v>
      </c>
      <c r="B198" s="130">
        <v>0.625</v>
      </c>
      <c r="C198" s="131">
        <v>1.31</v>
      </c>
      <c r="J198" s="63">
        <f>2*(B195-B196)*(0.5*C201+C200+C199+0.5*C198)+2*(B195-B196)*(C204+C201)</f>
        <v>0.9633750000000001</v>
      </c>
      <c r="K198" s="63">
        <f>2*(B195-B196)*(B195-B196)*(C201+3*C200+4*C199+2.5*C198)+2*2*(B195-B196)*(B195-B196)*0.5*C201</f>
        <v>0.38756250000000003</v>
      </c>
      <c r="L198" s="63">
        <f t="shared" si="5"/>
        <v>0.4022966134682756</v>
      </c>
      <c r="M198" s="70">
        <f>SQRT((C198-C199)*(C198-C199)+(B198-B199)*(B198-B199))+SQRT((C199-C200)*(C199-C200)+(B199-B200)*(B199-B200))+SQRT((C200-C201)*(C200-C625)+(B200-B201)*(B200-B201))+SQRT((C201-C204)*(C201-C204)+(B201-B204)*(B201-B204))+C204</f>
        <v>1.7075539170451204</v>
      </c>
    </row>
    <row r="199" spans="1:13" ht="12.75">
      <c r="A199" s="54" t="s">
        <v>17</v>
      </c>
      <c r="B199" s="130">
        <v>0.5</v>
      </c>
      <c r="C199" s="131">
        <v>1.209</v>
      </c>
      <c r="J199" s="63">
        <f>2*(B195-B196)*(0.5*C201+C200+0.5*C199)+2*(B195-B196)*(C204+C201)</f>
        <v>0.6485000000000001</v>
      </c>
      <c r="K199" s="63">
        <f>2*(B195-B196)*(B195-B196)*(C201+3*C200+2*C199)+2*2*(B195-B196)*(B195-B196)*0.5*C201</f>
        <v>0.20965625</v>
      </c>
      <c r="L199" s="63">
        <f t="shared" si="5"/>
        <v>0.32329414032382414</v>
      </c>
      <c r="M199" s="70">
        <f>SQRT((C199-C200)*(C199-C200)+(B199-B200)*(B199-B200))+SQRT((C200-C201)*(C200-C625)+(B200-B201)*(B200-B201))+SQRT((C201-C204)*(C201-C204)+(B201-B204)*(B201-B204))+C204</f>
        <v>1.5468492189184009</v>
      </c>
    </row>
    <row r="200" spans="1:13" ht="12.75">
      <c r="A200" s="54" t="s">
        <v>18</v>
      </c>
      <c r="B200" s="130">
        <v>0.375</v>
      </c>
      <c r="C200" s="131">
        <v>1.007</v>
      </c>
      <c r="E200" s="63" t="s">
        <v>53</v>
      </c>
      <c r="J200" s="63">
        <f>2*(B195-B196)*(0.5*C201+0.5*C200)+2*(B195-B196)*(C204+C201)</f>
        <v>0.3715</v>
      </c>
      <c r="K200" s="63">
        <f>2*(B195-B196)*(B195-B196)*(C201+1.5*C200)+2*2*(B195-B196)*(B195-B196)*0.5*C201</f>
        <v>0.086890625</v>
      </c>
      <c r="L200" s="63">
        <f t="shared" si="5"/>
        <v>0.2338913189771198</v>
      </c>
      <c r="M200" s="70">
        <f>SQRT((C200-C201)*(C200-C625)+(B200-B201)*(B200-B201))+SQRT((C201-C204)*(C201-C204)+(B201-B204)*(B201-B204))+C204</f>
        <v>1.3093013290098605</v>
      </c>
    </row>
    <row r="201" spans="1:14" ht="15.75">
      <c r="A201" s="54" t="s">
        <v>19</v>
      </c>
      <c r="B201" s="130">
        <v>0.25</v>
      </c>
      <c r="C201" s="131">
        <v>0.635</v>
      </c>
      <c r="E201" s="63" t="s">
        <v>197</v>
      </c>
      <c r="F201" s="72">
        <f>2*(B195-B196)*(0.5*C201+C200+C199+C198+C197+C196+0.5*C195)+2*(B195-B196)*(C204+C201)</f>
        <v>1.9767500000000002</v>
      </c>
      <c r="G201" s="63" t="s">
        <v>170</v>
      </c>
      <c r="J201" s="63">
        <f>2*(B195-B196)*(C204+C201)</f>
        <v>0.16625</v>
      </c>
      <c r="K201" s="63">
        <f>2*2*(B195-B196)*(B195-B196)*0.5*C201</f>
        <v>0.01984375</v>
      </c>
      <c r="L201" s="63">
        <f t="shared" si="5"/>
        <v>0.1193609022556391</v>
      </c>
      <c r="M201" s="70">
        <f>SQRT((C201-C204)*(C201-C204)+(B201-B204)*(B201-B204))+C204</f>
        <v>0.6846182093403758</v>
      </c>
      <c r="N201" s="70"/>
    </row>
    <row r="202" spans="1:3" ht="15.75">
      <c r="A202" s="54" t="s">
        <v>167</v>
      </c>
      <c r="B202" s="130">
        <v>0.05</v>
      </c>
      <c r="C202" s="131">
        <v>0.03</v>
      </c>
    </row>
    <row r="203" spans="1:5" ht="15.75">
      <c r="A203" s="54" t="s">
        <v>168</v>
      </c>
      <c r="B203" s="139">
        <v>0</v>
      </c>
      <c r="C203" s="131">
        <v>0.03</v>
      </c>
      <c r="E203" s="63" t="s">
        <v>55</v>
      </c>
    </row>
    <row r="204" spans="1:13" ht="15.75">
      <c r="A204" s="54" t="s">
        <v>160</v>
      </c>
      <c r="B204" s="130">
        <v>0</v>
      </c>
      <c r="C204" s="131">
        <v>0.03</v>
      </c>
      <c r="E204" s="63" t="s">
        <v>198</v>
      </c>
      <c r="F204" s="72">
        <f>2*(B195-B196)*(B195-B196)*(C201+3*C200+4*C199+5*C198+6*C197+7*C196+4*C195)+2*2*(B195-B196)*(B195-B196)*0.5*C201</f>
        <v>1.2128125</v>
      </c>
      <c r="G204" s="63" t="s">
        <v>174</v>
      </c>
      <c r="M204" s="70">
        <f>C204</f>
        <v>0.03</v>
      </c>
    </row>
    <row r="206" ht="12.75">
      <c r="E206" s="63" t="s">
        <v>79</v>
      </c>
    </row>
    <row r="207" spans="5:7" ht="15.75">
      <c r="E207" s="63" t="s">
        <v>199</v>
      </c>
      <c r="F207" s="71">
        <f>F204/F201</f>
        <v>0.6135386366510687</v>
      </c>
      <c r="G207" s="63" t="s">
        <v>56</v>
      </c>
    </row>
    <row r="209" ht="12.75">
      <c r="E209" s="67" t="s">
        <v>159</v>
      </c>
    </row>
    <row r="210" spans="5:7" ht="15.75">
      <c r="E210" s="63" t="s">
        <v>200</v>
      </c>
      <c r="F210" s="71">
        <f>SQRT((C195-C196)*(C195-C196)+(B195-B196)*(B195-B196))+SQRT((C196-C197)*(C196-C197)+(B196-B197)*(B196-B197))+SQRT((C197-C198)*(C197-C198)+(B197-B198)*(B197-B198))+SQRT((C198-C199)*(C198-C199)+(B198-B199)*(B198-B199))+SQRT((C199-C200)*(C199-C200)+(B199-B200)*(B199-B200))+SQRT((C200-C201)*(C200-C625)+(B200-B201)*(B200-B201))+SQRT((C201-C204)*(C201-C204)+(B201-B204)*(B201-B204))+C204</f>
        <v>2.08952603489061</v>
      </c>
      <c r="G210" s="63" t="s">
        <v>56</v>
      </c>
    </row>
    <row r="211" ht="12.75">
      <c r="E211" s="67"/>
    </row>
    <row r="212" ht="12.75">
      <c r="F212" s="71"/>
    </row>
    <row r="214" ht="12.75">
      <c r="A214" s="66">
        <v>7</v>
      </c>
    </row>
    <row r="215" spans="1:3" ht="12.75">
      <c r="A215" s="59" t="s">
        <v>297</v>
      </c>
      <c r="B215" s="54" t="s">
        <v>7</v>
      </c>
      <c r="C215" s="54" t="s">
        <v>6</v>
      </c>
    </row>
    <row r="216" spans="1:3" ht="12.75">
      <c r="A216" s="54" t="s">
        <v>4</v>
      </c>
      <c r="B216" s="134">
        <v>1.427</v>
      </c>
      <c r="C216" s="131">
        <v>1.311</v>
      </c>
    </row>
    <row r="217" spans="1:3" ht="12.75">
      <c r="A217" s="54" t="s">
        <v>9</v>
      </c>
      <c r="B217" s="130">
        <v>1.5</v>
      </c>
      <c r="C217" s="131">
        <v>1.311</v>
      </c>
    </row>
    <row r="218" spans="1:3" ht="12.75">
      <c r="A218" s="54" t="s">
        <v>10</v>
      </c>
      <c r="B218" s="130">
        <v>1.375</v>
      </c>
      <c r="C218" s="131">
        <v>1.311</v>
      </c>
    </row>
    <row r="219" spans="1:13" ht="15.75">
      <c r="A219" s="54" t="s">
        <v>11</v>
      </c>
      <c r="B219" s="130">
        <v>1.25</v>
      </c>
      <c r="C219" s="131">
        <v>1.311</v>
      </c>
      <c r="J219" s="63" t="s">
        <v>164</v>
      </c>
      <c r="K219" s="63" t="s">
        <v>86</v>
      </c>
      <c r="L219" s="63" t="s">
        <v>171</v>
      </c>
      <c r="M219" s="63" t="s">
        <v>165</v>
      </c>
    </row>
    <row r="220" spans="1:13" ht="12.75">
      <c r="A220" s="54" t="s">
        <v>12</v>
      </c>
      <c r="B220" s="130">
        <v>1.125</v>
      </c>
      <c r="C220" s="131">
        <v>1.305</v>
      </c>
      <c r="J220" s="63">
        <f>2*(B221-B222)*(0.5*C227+C226+C225+C224+C223+C222+C221+0.5*C220)+2*(B221-B222)*(C230+C227)</f>
        <v>2.1502499999999998</v>
      </c>
      <c r="K220" s="63">
        <f>2*(B221-B222)*(B221-B222)*(C227+3*C226+4*C225+5*C224+6*C223+7*C222+8*C221+4.5*C220)+2*2*(B221-B222)*(B221-B222)*0.5*C227</f>
        <v>1.464171875</v>
      </c>
      <c r="L220" s="63">
        <f>K220/J220</f>
        <v>0.6809309963957679</v>
      </c>
      <c r="M220" s="70">
        <f>SQRT((C220-C221)*(C220-C221)+(B220-B221)*(B220-B221))+SQRT((C221-C222)*(C221-C222)+(B221-B222)*(B221-B222))+SQRT((C222-C223)*(C222-C223)+(B222-B223)*(B222-B223))+SQRT((C223-C224)*(C223-C224)+(B223-B224)*(B223-B224))+SQRT((C224-C225)*(C224-C225)+(B224-B225)*(B224-B225))+SQRT((C225-C226)*(C225-C226)+(B225-B226)*(B225-B226))+SQRT((C226-C227)*(C226-C652)+(B226-B227)*(B226-B227))+SQRT((C227-C230)*(C227-C230)+(B227-B230)*(B227-B230))+C230</f>
        <v>2.0924188004244852</v>
      </c>
    </row>
    <row r="221" spans="1:3" ht="12.75">
      <c r="A221" s="54" t="s">
        <v>13</v>
      </c>
      <c r="B221" s="130">
        <v>1</v>
      </c>
      <c r="C221" s="137">
        <v>1.292</v>
      </c>
    </row>
    <row r="222" spans="1:13" ht="12.75">
      <c r="A222" s="54" t="s">
        <v>14</v>
      </c>
      <c r="B222" s="130">
        <v>0.875</v>
      </c>
      <c r="C222" s="131">
        <v>1.275</v>
      </c>
      <c r="J222" s="63">
        <f>2*(B221-B222)*(0.5*C227+C226+C225+C224+C223+0.5*C222)+2*(B221-B222)*(C230+C227)</f>
        <v>1.50475</v>
      </c>
      <c r="K222" s="63">
        <f>2*(B221-B222)*(B221-B222)*(C227+3*C226+4*C225+5*C224+6*C223+3.5*C222)+2*2*(B221-B222)*(B221-B222)*0.5*C227</f>
        <v>0.818203125</v>
      </c>
      <c r="L222" s="63">
        <f aca="true" t="shared" si="6" ref="L222:L227">K222/J222</f>
        <v>0.5437468848645954</v>
      </c>
      <c r="M222" s="70">
        <f>SQRT((C222-C223)*(C222-C223)+(B222-B223)*(B222-B223))+SQRT((C223-C224)*(C223-C224)+(B223-B224)*(B223-B224))+SQRT((C224-C225)*(C224-C225)+(B224-B225)*(B224-B225))+SQRT((C225-C226)*(C225-C226)+(B225-B226)*(B225-B226))+SQRT((C226-C227)*(C226-C652)+(B226-B227)*(B226-B227))+SQRT((C227-C230)*(C227-C230)+(B227-B230)*(B227-B230))+C230</f>
        <v>1.8405939149839186</v>
      </c>
    </row>
    <row r="223" spans="1:13" ht="12.75">
      <c r="A223" s="54" t="s">
        <v>15</v>
      </c>
      <c r="B223" s="130">
        <v>0.75</v>
      </c>
      <c r="C223" s="131">
        <v>1.244</v>
      </c>
      <c r="J223" s="63">
        <f>2*(B221-B222)*(0.5*C227+C226+C225+C224+0.5*C223)+2*(B221-B222)*(C230+C227)</f>
        <v>1.189875</v>
      </c>
      <c r="K223" s="63">
        <f>2*(B221-B222)*(B221-B222)*(C227+3*C226+4*C225+5*C224+3*C223)+2*2*(B221-B222)*(B221-B222)*0.5*C227</f>
        <v>0.562125</v>
      </c>
      <c r="L223" s="63">
        <f t="shared" si="6"/>
        <v>0.4724235739048219</v>
      </c>
      <c r="M223" s="70">
        <f>SQRT((C223-C224)*(C223-C224)+(B223-B224)*(B223-B224))+SQRT((C224-C225)*(C224-C225)+(B224-B225)*(B224-B225))+SQRT((C225-C226)*(C225-C226)+(B225-B226)*(B225-B226))+SQRT((C226-C227)*(C226-C652)+(B226-B227)*(B226-B227))+SQRT((C227-C230)*(C227-C230)+(B227-B230)*(B227-B230))+C230</f>
        <v>1.7118072697135334</v>
      </c>
    </row>
    <row r="224" spans="1:13" ht="12.75">
      <c r="A224" s="54" t="s">
        <v>16</v>
      </c>
      <c r="B224" s="130">
        <v>0.625</v>
      </c>
      <c r="C224" s="131">
        <v>1.19</v>
      </c>
      <c r="J224" s="63">
        <f>2*(B221-B222)*(0.5*C227+C226+C225+0.5*C224)+2*(B221-B222)*(C230+C227)</f>
        <v>0.8856250000000001</v>
      </c>
      <c r="K224" s="63">
        <f>2*(B221-B222)*(B221-B222)*(C227+3*C226+4*C225+2.5*C224)+2*2*(B221-B222)*(B221-B222)*0.5*C227</f>
        <v>0.35253124999999996</v>
      </c>
      <c r="L224" s="63">
        <f t="shared" si="6"/>
        <v>0.3980592801693718</v>
      </c>
      <c r="M224" s="70">
        <f>SQRT((C224-C225)*(C224-C225)+(B224-B225)*(B224-B225))+SQRT((C225-C226)*(C225-C226)+(B225-B226)*(B225-B226))+SQRT((C226-C227)*(C226-C652)+(B226-B227)*(B226-B227))+SQRT((C227-C230)*(C227-C230)+(B227-B230)*(B227-B230))+C230</f>
        <v>1.575641929042715</v>
      </c>
    </row>
    <row r="225" spans="1:13" ht="12.75">
      <c r="A225" s="54" t="s">
        <v>17</v>
      </c>
      <c r="B225" s="130">
        <v>0.5</v>
      </c>
      <c r="C225" s="131">
        <v>1.096</v>
      </c>
      <c r="J225" s="63">
        <f>2*(B221-B222)*(0.5*C227+C226+0.5*C225)+2*(B221-B222)*(C230+C227)</f>
        <v>0.5998749999999999</v>
      </c>
      <c r="K225" s="63">
        <f>2*(B221-B222)*(B221-B222)*(C227+3*C226+2*C225)+2*2*(B221-B222)*(B221-B222)*0.5*C227</f>
        <v>0.1910625</v>
      </c>
      <c r="L225" s="63">
        <f t="shared" si="6"/>
        <v>0.3185038549697854</v>
      </c>
      <c r="M225" s="70">
        <f>SQRT((C225-C226)*(C225-C226)+(B225-B226)*(B225-B226))+SQRT((C226-C227)*(C226-C652)+(B226-B227)*(B226-B227))+SQRT((C227-C230)*(C227-C230)+(B227-B230)*(B227-B230))+C230</f>
        <v>1.4192418011655297</v>
      </c>
    </row>
    <row r="226" spans="1:14" ht="12.75">
      <c r="A226" s="54" t="s">
        <v>18</v>
      </c>
      <c r="B226" s="130">
        <v>0.375</v>
      </c>
      <c r="C226" s="131">
        <v>0.896</v>
      </c>
      <c r="E226" s="63" t="s">
        <v>53</v>
      </c>
      <c r="J226" s="63">
        <f>2*(B221-B222)*(0.5*C227+0.5*C226)+2*(B221-B222)*(C230+C227)</f>
        <v>0.350875</v>
      </c>
      <c r="K226" s="63">
        <f>2*(B221-B222)*(B221-B222)*(C227+1.5*C226)+2*2*(B221-B222)*(B221-B222)*0.5*C227</f>
        <v>0.08056250000000001</v>
      </c>
      <c r="L226" s="63">
        <f t="shared" si="6"/>
        <v>0.22960456002850022</v>
      </c>
      <c r="M226" s="70">
        <f>SQRT((C226-C227)*(C226-C652)+(B226-B227)*(B226-B227))+SQRT((C227-C230)*(C227-C230)+(B227-B230)*(B227-B230))+C230</f>
        <v>1.1833922728641146</v>
      </c>
      <c r="N226" s="70"/>
    </row>
    <row r="227" spans="1:13" ht="15.75">
      <c r="A227" s="54" t="s">
        <v>19</v>
      </c>
      <c r="B227" s="130">
        <v>0.25</v>
      </c>
      <c r="C227" s="131">
        <v>0.617</v>
      </c>
      <c r="E227" s="63" t="s">
        <v>201</v>
      </c>
      <c r="F227" s="72">
        <f>2*(B221-B222)*(0.5*C227+C226+C225+C224+C223+C222+0.5*C221)+2*(B221-B222)*(C230+C227)</f>
        <v>1.8256249999999998</v>
      </c>
      <c r="G227" s="63" t="s">
        <v>170</v>
      </c>
      <c r="J227" s="63">
        <f>2*(B221-B222)*(C230+C227)</f>
        <v>0.16175</v>
      </c>
      <c r="K227" s="63">
        <f>2*2*(B221-B222)*(B221-B222)*0.5*C227</f>
        <v>0.01928125</v>
      </c>
      <c r="L227" s="63">
        <f t="shared" si="6"/>
        <v>0.11920401854714065</v>
      </c>
      <c r="M227" s="70">
        <f>SQRT((C227-C230)*(C227-C230)+(B227-B230)*(B227-B230))+C230</f>
        <v>0.6680195921756635</v>
      </c>
    </row>
    <row r="228" spans="1:3" ht="15.75">
      <c r="A228" s="54" t="s">
        <v>167</v>
      </c>
      <c r="B228" s="130">
        <v>0.05</v>
      </c>
      <c r="C228" s="131">
        <v>0.03</v>
      </c>
    </row>
    <row r="229" spans="1:5" ht="15.75">
      <c r="A229" s="54" t="s">
        <v>168</v>
      </c>
      <c r="B229" s="139">
        <v>0</v>
      </c>
      <c r="C229" s="131">
        <v>0.03</v>
      </c>
      <c r="E229" s="63" t="s">
        <v>55</v>
      </c>
    </row>
    <row r="230" spans="1:13" ht="15.75">
      <c r="A230" s="54" t="s">
        <v>160</v>
      </c>
      <c r="B230" s="130">
        <v>0</v>
      </c>
      <c r="C230" s="131">
        <v>0.03</v>
      </c>
      <c r="E230" s="63" t="s">
        <v>202</v>
      </c>
      <c r="F230" s="72">
        <f>2*(B221-B222)*(B221-B222)*(C227+3*C226+4*C225+5*C224+6*C223+7*C222+4*C221)+2*2*(B221-B222)*(B221-B222)*0.5*C227</f>
        <v>1.1191562499999999</v>
      </c>
      <c r="G230" s="63" t="s">
        <v>174</v>
      </c>
      <c r="M230" s="70">
        <f>C230</f>
        <v>0.03</v>
      </c>
    </row>
    <row r="232" ht="12.75">
      <c r="E232" s="63" t="s">
        <v>79</v>
      </c>
    </row>
    <row r="233" spans="5:7" ht="15.75">
      <c r="E233" s="63" t="s">
        <v>203</v>
      </c>
      <c r="F233" s="71">
        <f>F230/F227</f>
        <v>0.6130263608353304</v>
      </c>
      <c r="G233" s="63" t="s">
        <v>56</v>
      </c>
    </row>
    <row r="235" ht="12.75">
      <c r="E235" s="67" t="s">
        <v>159</v>
      </c>
    </row>
    <row r="236" spans="5:7" ht="15.75">
      <c r="E236" s="63" t="s">
        <v>204</v>
      </c>
      <c r="F236" s="71">
        <f>SQRT((C221-C222)*(C221-C222)+(B221-B222)*(B221-B222))+SQRT((C222-C223)*(C222-C223)+(B222-B223)*(B222-B223))+SQRT((C223-C224)*(C223-C224)+(B223-B224)*(B223-B224))+SQRT((C224-C225)*(C224-C225)+(B224-B225)*(B224-B225))+SQRT((C225-C226)*(C225-C226)+(B225-B226)*(B225-B226))+SQRT((C226-C227)*(C226-C652)+(B226-B227)*(B226-B227))+SQRT((C227-C230)*(C227-C230)+(B227-B230)*(B227-B230))+C230</f>
        <v>1.9667446185095034</v>
      </c>
      <c r="G236" s="63" t="s">
        <v>56</v>
      </c>
    </row>
    <row r="237" ht="12.75">
      <c r="E237" s="67"/>
    </row>
    <row r="238" ht="12.75">
      <c r="F238" s="71"/>
    </row>
    <row r="241" ht="12.75">
      <c r="A241" s="66">
        <v>8</v>
      </c>
    </row>
    <row r="242" spans="1:3" ht="12.75">
      <c r="A242" s="59" t="s">
        <v>298</v>
      </c>
      <c r="B242" s="54" t="s">
        <v>7</v>
      </c>
      <c r="C242" s="54" t="s">
        <v>6</v>
      </c>
    </row>
    <row r="243" spans="1:3" ht="12.75">
      <c r="A243" s="54" t="s">
        <v>4</v>
      </c>
      <c r="B243" s="134">
        <v>1.468</v>
      </c>
      <c r="C243" s="131">
        <v>1.179</v>
      </c>
    </row>
    <row r="244" spans="1:3" ht="12.75">
      <c r="A244" s="54" t="s">
        <v>9</v>
      </c>
      <c r="B244" s="130">
        <v>1.5</v>
      </c>
      <c r="C244" s="131">
        <v>1.175</v>
      </c>
    </row>
    <row r="245" spans="1:3" ht="12.75">
      <c r="A245" s="54" t="s">
        <v>10</v>
      </c>
      <c r="B245" s="130">
        <v>1.375</v>
      </c>
      <c r="C245" s="131">
        <v>1.17</v>
      </c>
    </row>
    <row r="246" spans="1:13" ht="15.75">
      <c r="A246" s="54" t="s">
        <v>11</v>
      </c>
      <c r="B246" s="130">
        <v>1.25</v>
      </c>
      <c r="C246" s="131">
        <v>1.157</v>
      </c>
      <c r="J246" s="63" t="s">
        <v>164</v>
      </c>
      <c r="K246" s="63" t="s">
        <v>86</v>
      </c>
      <c r="L246" s="63" t="s">
        <v>171</v>
      </c>
      <c r="M246" s="63" t="s">
        <v>165</v>
      </c>
    </row>
    <row r="247" spans="1:13" ht="12.75">
      <c r="A247" s="54" t="s">
        <v>12</v>
      </c>
      <c r="B247" s="130">
        <v>1.125</v>
      </c>
      <c r="C247" s="131">
        <v>1.141</v>
      </c>
      <c r="J247" s="63">
        <f>2*(B248-B249)*(0.5*C254+C253+C252+C251+C250+C249+C248+0.5*C247)+2*(B248-B249)*(C257+C254)</f>
        <v>1.7591249999999998</v>
      </c>
      <c r="K247" s="63">
        <f>2*(B248-B249)*(B248-B249)*(C254+3*C253+4*C252+5*C251+6*C250+7*C249+8*C248+4.5*C247)+2*2*(B248-B249)*(B248-B249)*0.5*C254</f>
        <v>1.2174531249999998</v>
      </c>
      <c r="L247" s="63">
        <f>K247/J247</f>
        <v>0.6920788033823634</v>
      </c>
      <c r="M247" s="70">
        <f>SQRT((C247-C248)*(C247-C248)+(B247-B248)*(B247-B248))+SQRT((C248-C249)*(C248-C249)+(B248-B249)*(B248-B249))+SQRT((C249-C250)*(C249-C250)+(B249-B250)*(B249-B250))+SQRT((C250-C251)*(C250-C251)+(B250-B251)*(B250-B251))+SQRT((C251-C252)*(C251-C252)+(B251-B252)*(B251-B252))+SQRT((C252-C253)*(C252-C253)+(B252-B253)*(B252-B253))+SQRT((C253-C254)*(C253-C679)+(B253-B254)*(B253-B254))+SQRT((C254-C257)*(C254-C257)+(B254-B257)*(B254-B257))+C257</f>
        <v>1.8499315045528624</v>
      </c>
    </row>
    <row r="248" spans="1:3" ht="12.75">
      <c r="A248" s="54" t="s">
        <v>13</v>
      </c>
      <c r="B248" s="130">
        <v>1</v>
      </c>
      <c r="C248" s="137">
        <v>1.113</v>
      </c>
    </row>
    <row r="249" spans="1:13" ht="12.75">
      <c r="A249" s="54" t="s">
        <v>14</v>
      </c>
      <c r="B249" s="130">
        <v>0.875</v>
      </c>
      <c r="C249" s="131">
        <v>1.078</v>
      </c>
      <c r="J249" s="63">
        <f>2*(B248-B249)*(0.5*C254+C253+C252+C251+C250+0.5*C249)+2*(B248-B249)*(C257+C254)</f>
        <v>1.2034999999999998</v>
      </c>
      <c r="K249" s="63">
        <f>2*(B248-B249)*(B248-B249)*(C254+3*C253+4*C252+5*C251+6*C250+3.5*C249)+2*2*(B248-B249)*(B248-B249)*0.5*C254</f>
        <v>0.66084375</v>
      </c>
      <c r="L249" s="63">
        <f aca="true" t="shared" si="7" ref="L249:L254">K249/J249</f>
        <v>0.549101578728708</v>
      </c>
      <c r="M249" s="70">
        <f>SQRT((C249-C250)*(C249-C250)+(B249-B250)*(B249-B250))+SQRT((C250-C251)*(C250-C251)+(B250-B251)*(B250-B251))+SQRT((C251-C252)*(C251-C252)+(B251-B252)*(B251-B252))+SQRT((C252-C253)*(C252-C253)+(B252-B253)*(B252-B253))+SQRT((C253-C254)*(C253-C679)+(B253-B254)*(B253-B254))+SQRT((C254-C257)*(C254-C257)+(B254-B257)*(B254-B257))+C257</f>
        <v>1.5920263356698992</v>
      </c>
    </row>
    <row r="250" spans="1:13" ht="12.75">
      <c r="A250" s="54" t="s">
        <v>15</v>
      </c>
      <c r="B250" s="130">
        <v>0.75</v>
      </c>
      <c r="C250" s="131">
        <v>1.027</v>
      </c>
      <c r="J250" s="63">
        <f>2*(B248-B249)*(0.5*C254+C253+C252+C251+0.5*C250)+2*(B248-B249)*(C257+C254)</f>
        <v>0.940375</v>
      </c>
      <c r="K250" s="63">
        <f>2*(B248-B249)*(B248-B249)*(C254+3*C253+4*C252+5*C251+3*C250)+2*2*(B248-B249)*(B248-B249)*0.5*C254</f>
        <v>0.44665625</v>
      </c>
      <c r="L250" s="63">
        <f t="shared" si="7"/>
        <v>0.4749767380034561</v>
      </c>
      <c r="M250" s="70">
        <f>SQRT((C250-C251)*(C250-C251)+(B250-B251)*(B250-B251))+SQRT((C251-C252)*(C251-C252)+(B251-B252)*(B251-B252))+SQRT((C252-C253)*(C252-C253)+(B252-B253)*(B252-B253))+SQRT((C253-C254)*(C253-C679)+(B253-B254)*(B253-B254))+SQRT((C254-C257)*(C254-C257)+(B254-B257)*(B254-B257))+C257</f>
        <v>1.4570226320169992</v>
      </c>
    </row>
    <row r="251" spans="1:13" ht="12.75">
      <c r="A251" s="54" t="s">
        <v>16</v>
      </c>
      <c r="B251" s="130">
        <v>0.625</v>
      </c>
      <c r="C251" s="131">
        <v>0.953</v>
      </c>
      <c r="J251" s="63">
        <f>2*(B248-B249)*(0.5*C254+C253+C252+0.5*C251)+2*(B248-B249)*(C257+C254)</f>
        <v>0.6928749999999999</v>
      </c>
      <c r="K251" s="63">
        <f>2*(B248-B249)*(B248-B249)*(C254+3*C253+4*C252+2.5*C251)+2*2*(B248-B249)*(B248-B249)*0.5*C254</f>
        <v>0.275921875</v>
      </c>
      <c r="L251" s="63">
        <f t="shared" si="7"/>
        <v>0.39822749413674907</v>
      </c>
      <c r="M251" s="70">
        <f>SQRT((C251-C252)*(C251-C252)+(B251-B252)*(B251-B252))+SQRT((C252-C253)*(C252-C253)+(B252-B253)*(B252-B253))+SQRT((C253-C254)*(C253-C679)+(B253-B254)*(B253-B254))+SQRT((C254-C257)*(C254-C257)+(B254-B257)*(B254-B257))+C257</f>
        <v>1.3117607994524882</v>
      </c>
    </row>
    <row r="252" spans="1:13" ht="12.75">
      <c r="A252" s="54" t="s">
        <v>17</v>
      </c>
      <c r="B252" s="130">
        <v>0.5</v>
      </c>
      <c r="C252" s="131">
        <v>0.852</v>
      </c>
      <c r="J252" s="63">
        <f>2*(B248-B249)*(0.5*C254+C253+0.5*C252)+2*(B248-B249)*(C257+C254)</f>
        <v>0.46725</v>
      </c>
      <c r="K252" s="63">
        <f>2*(B248-B249)*(B248-B249)*(C254+3*C253+2*C252)+2*2*(B248-B249)*(B248-B249)*0.5*C254</f>
        <v>0.14821875</v>
      </c>
      <c r="L252" s="63">
        <f t="shared" si="7"/>
        <v>0.31721508828250405</v>
      </c>
      <c r="M252" s="70">
        <f>SQRT((C252-C253)*(C252-C253)+(B252-B253)*(B252-B253))+SQRT((C253-C254)*(C253-C679)+(B253-B254)*(B253-B254))+SQRT((C254-C257)*(C254-C257)+(B254-B257)*(B254-B257))+C257</f>
        <v>1.151056101325769</v>
      </c>
    </row>
    <row r="253" spans="1:14" ht="12.75">
      <c r="A253" s="54" t="s">
        <v>18</v>
      </c>
      <c r="B253" s="130">
        <v>0.375</v>
      </c>
      <c r="C253" s="131">
        <v>0.693</v>
      </c>
      <c r="E253" s="63" t="s">
        <v>53</v>
      </c>
      <c r="J253" s="63">
        <f>2*(B248-B249)*(0.5*C254+0.5*C253)+2*(B248-B249)*(C257+C254)</f>
        <v>0.274125</v>
      </c>
      <c r="K253" s="63">
        <f>2*(B248-B249)*(B248-B249)*(C254+1.5*C253)+2*2*(B248-B249)*(B248-B249)*0.5*C254</f>
        <v>0.062484374999999995</v>
      </c>
      <c r="L253" s="63">
        <f t="shared" si="7"/>
        <v>0.2279411764705882</v>
      </c>
      <c r="M253" s="70">
        <f>SQRT((C253-C254)*(C253-C679)+(B253-B254)*(B253-B254))+SQRT((C254-C257)*(C254-C257)+(B254-B257)*(B254-B257))+C257</f>
        <v>0.9488037836629051</v>
      </c>
      <c r="N253" s="70"/>
    </row>
    <row r="254" spans="1:13" ht="15.75">
      <c r="A254" s="54" t="s">
        <v>19</v>
      </c>
      <c r="B254" s="130">
        <v>0.25</v>
      </c>
      <c r="C254" s="131">
        <v>0.48</v>
      </c>
      <c r="E254" s="63" t="s">
        <v>205</v>
      </c>
      <c r="F254" s="72">
        <f>2*(B248-B249)*(0.5*C254+C253+C252+C251+C250+C249+0.5*C248)+2*(B248-B249)*(C257+C254)</f>
        <v>1.4773749999999999</v>
      </c>
      <c r="G254" s="63" t="s">
        <v>170</v>
      </c>
      <c r="J254" s="63">
        <f>2*(B248-B249)*(C257+C254)</f>
        <v>0.1275</v>
      </c>
      <c r="K254" s="63">
        <f>2*2*(B248-B249)*(B248-B249)*0.5*C254</f>
        <v>0.015</v>
      </c>
      <c r="L254" s="63">
        <f t="shared" si="7"/>
        <v>0.11764705882352941</v>
      </c>
      <c r="M254" s="70">
        <f>SQRT((C254-C257)*(C254-C257)+(B254-B257)*(B254-B257))+C257</f>
        <v>0.54478150704935</v>
      </c>
    </row>
    <row r="255" spans="1:3" ht="15.75">
      <c r="A255" s="54" t="s">
        <v>167</v>
      </c>
      <c r="B255" s="130">
        <v>0.05</v>
      </c>
      <c r="C255" s="131">
        <v>0.03</v>
      </c>
    </row>
    <row r="256" spans="1:5" ht="15.75">
      <c r="A256" s="54" t="s">
        <v>168</v>
      </c>
      <c r="B256" s="139">
        <v>0</v>
      </c>
      <c r="C256" s="131">
        <v>0.03</v>
      </c>
      <c r="E256" s="63" t="s">
        <v>55</v>
      </c>
    </row>
    <row r="257" spans="1:13" ht="15.75">
      <c r="A257" s="54" t="s">
        <v>160</v>
      </c>
      <c r="B257" s="130">
        <v>0</v>
      </c>
      <c r="C257" s="131">
        <v>0.03</v>
      </c>
      <c r="E257" s="63" t="s">
        <v>206</v>
      </c>
      <c r="F257" s="72">
        <f>2*(B248-B249)*(B248-B249)*(C254+3*C253+4*C252+5*C251+6*C250+7*C249+4*C248)+2*2*(B248-B249)*(B248-B249)*0.5*C254</f>
        <v>0.9178749999999999</v>
      </c>
      <c r="G257" s="63" t="s">
        <v>174</v>
      </c>
      <c r="M257" s="70">
        <f>C257</f>
        <v>0.03</v>
      </c>
    </row>
    <row r="259" ht="12.75">
      <c r="E259" s="63" t="s">
        <v>79</v>
      </c>
    </row>
    <row r="260" spans="5:7" ht="15.75">
      <c r="E260" s="63" t="s">
        <v>207</v>
      </c>
      <c r="F260" s="71">
        <f>F257/F254</f>
        <v>0.6212877570014383</v>
      </c>
      <c r="G260" s="63" t="s">
        <v>56</v>
      </c>
    </row>
    <row r="262" ht="12.75">
      <c r="E262" s="67" t="s">
        <v>159</v>
      </c>
    </row>
    <row r="263" spans="5:7" ht="15.75">
      <c r="E263" s="63" t="s">
        <v>208</v>
      </c>
      <c r="F263" s="71">
        <f>SQRT((C248-C249)*(C248-C249)+(B248-B249)*(B248-B249))+SQRT((C249-C250)*(C249-C250)+(B249-B250)*(B249-B250))+SQRT((C250-C251)*(C250-C251)+(B250-B251)*(B250-B251))+SQRT((C251-C252)*(C251-C252)+(B251-B252)*(B251-B252))+SQRT((C252-C253)*(C252-C253)+(B252-B253)*(B252-B253))+SQRT((C253-C254)*(C253-C679)+(B253-B254)*(B253-B254))+SQRT((C254-C257)*(C254-C257)+(B254-B257)*(B254-B257))+C257</f>
        <v>1.7218338855273707</v>
      </c>
      <c r="G263" s="63" t="s">
        <v>56</v>
      </c>
    </row>
    <row r="264" ht="12.75">
      <c r="E264" s="67"/>
    </row>
    <row r="265" ht="12.75">
      <c r="F265" s="71"/>
    </row>
    <row r="267" ht="12.75">
      <c r="A267" s="66">
        <v>9</v>
      </c>
    </row>
    <row r="268" spans="1:3" ht="12.75">
      <c r="A268" s="59" t="s">
        <v>299</v>
      </c>
      <c r="B268" s="54" t="s">
        <v>7</v>
      </c>
      <c r="C268" s="54" t="s">
        <v>6</v>
      </c>
    </row>
    <row r="269" spans="1:3" ht="12.75">
      <c r="A269" s="54" t="s">
        <v>4</v>
      </c>
      <c r="B269" s="134">
        <v>1.522</v>
      </c>
      <c r="C269" s="131">
        <v>0.915</v>
      </c>
    </row>
    <row r="270" spans="1:3" ht="12.75">
      <c r="A270" s="54" t="s">
        <v>9</v>
      </c>
      <c r="B270" s="130">
        <v>1.5</v>
      </c>
      <c r="C270" s="131">
        <v>0.91</v>
      </c>
    </row>
    <row r="271" spans="1:3" ht="12.75">
      <c r="A271" s="54" t="s">
        <v>10</v>
      </c>
      <c r="B271" s="130">
        <v>1.375</v>
      </c>
      <c r="C271" s="131">
        <v>0.877</v>
      </c>
    </row>
    <row r="272" spans="1:13" ht="15.75">
      <c r="A272" s="54" t="s">
        <v>11</v>
      </c>
      <c r="B272" s="130">
        <v>1.25</v>
      </c>
      <c r="C272" s="131">
        <v>0.842</v>
      </c>
      <c r="J272" s="63" t="s">
        <v>164</v>
      </c>
      <c r="K272" s="63" t="s">
        <v>86</v>
      </c>
      <c r="L272" s="63" t="s">
        <v>171</v>
      </c>
      <c r="M272" s="63" t="s">
        <v>165</v>
      </c>
    </row>
    <row r="273" spans="1:13" ht="12.75">
      <c r="A273" s="54" t="s">
        <v>12</v>
      </c>
      <c r="B273" s="130">
        <v>1.125</v>
      </c>
      <c r="C273" s="131">
        <v>0.805</v>
      </c>
      <c r="J273" s="63">
        <f>2*(B274-B275)*(0.5*C280+C279+C278+C277+C276+C275+C274+0.5*C273)+2*(B274-B275)*(C283+C280)</f>
        <v>1.0431249999999999</v>
      </c>
      <c r="K273" s="63">
        <f>2*(B274-B275)*(B274-B275)*(C280+3*C279+4*C278+5*C277+6*C276+7*C275+8*C274+4.5*C273)+2*2*(B274-B275)*(B274-B275)*0.5*C280</f>
        <v>0.774765625</v>
      </c>
      <c r="L273" s="63">
        <f>K273/J273</f>
        <v>0.7427351707609348</v>
      </c>
      <c r="M273" s="70">
        <f>SQRT((C273-C274)*(C273-C274)+(B273-B274)*(B273-B274))+SQRT((C274-C275)*(C274-C275)+(B274-B275)*(B274-B275))+SQRT((C275-C276)*(C275-C276)+(B275-B276)*(B275-B276))+SQRT((C276-C277)*(C276-C277)+(B276-B277)*(B276-B277))+SQRT((C277-C278)*(C277-C278)+(B277-B278)*(B277-B278))+SQRT((C278-C279)*(C278-C279)+(B278-B279)*(B278-B279))+SQRT((C279-C280)*(C279-C705)+(B279-B280)*(B279-B280))+SQRT((C280-C282)*(C280-C282)+(B280-B282)*(B280-B282))+C282</f>
        <v>1.392300533874834</v>
      </c>
    </row>
    <row r="274" spans="1:3" ht="12.75">
      <c r="A274" s="54" t="s">
        <v>13</v>
      </c>
      <c r="B274" s="130">
        <v>1</v>
      </c>
      <c r="C274" s="137">
        <v>0.76</v>
      </c>
    </row>
    <row r="275" spans="1:13" ht="12.75">
      <c r="A275" s="54" t="s">
        <v>14</v>
      </c>
      <c r="B275" s="130">
        <v>0.875</v>
      </c>
      <c r="C275" s="131">
        <v>0.716</v>
      </c>
      <c r="J275" s="63">
        <f>2*(B274-B275)*(0.5*C280+C279+C278+C277+C276+0.5*C275)+2*(B274-B275)*(C283+C280)</f>
        <v>0.663</v>
      </c>
      <c r="K275" s="63">
        <f>2*(B274-B275)*(B274-B275)*(C280+3*C279+4*C278+5*C277+6*C276+3.5*C275)+2*2*(B274-B275)*(B274-B275)*0.5*C280</f>
        <v>0.39325</v>
      </c>
      <c r="L275" s="63">
        <f aca="true" t="shared" si="8" ref="L275:L280">K275/J275</f>
        <v>0.5931372549019608</v>
      </c>
      <c r="M275" s="70">
        <f>SQRT((C275-C276)*(C275-C276)+(B275-B276)*(B275-B276))+SQRT((C276-C277)*(C276-C277)+(B276-B277)*(B276-B277))+SQRT((C277-C278)*(C277-C278)+(B277-B278)*(B277-B278))+SQRT((C278-C279)*(C278-C279)+(B278-B279)*(B278-B279))+SQRT((C279-C280)*(C279-C705)+(B279-B280)*(B279-B280))+SQRT((C280-C282)*(C280-C282)+(B280-B282)*(B280-B282))+C282</f>
        <v>1.1269293080029141</v>
      </c>
    </row>
    <row r="276" spans="1:13" ht="12.75">
      <c r="A276" s="54" t="s">
        <v>15</v>
      </c>
      <c r="B276" s="130">
        <v>0.75</v>
      </c>
      <c r="C276" s="140">
        <v>0.66</v>
      </c>
      <c r="J276" s="63">
        <f>2*(B274-B275)*(0.5*C280+C279+C278+C277+0.5*C276)+2*(B274-B275)*(C283+C280)</f>
        <v>0.491</v>
      </c>
      <c r="K276" s="63">
        <f>2*(B274-B275)*(B274-B275)*(C280+3*C279+4*C278+5*C277+3*C276)+2*2*(B274-B275)*(B274-B275)*0.5*C280</f>
        <v>0.25306249999999997</v>
      </c>
      <c r="L276" s="63">
        <f t="shared" si="8"/>
        <v>0.5154022403258656</v>
      </c>
      <c r="M276" s="70">
        <f>SQRT((C276-C277)*(C276-C277)+(B276-B277)*(B276-B277))+SQRT((C277-C278)*(C277-C278)+(B277-B278)*(B277-B278))+SQRT((C278-C279)*(C278-C279)+(B278-B279)*(B278-B279))+SQRT((C279-C280)*(C279-C705)+(B279-B280)*(B279-B280))+SQRT((C280-C282)*(C280-C282)+(B280-B282)*(B280-B282))+C282</f>
        <v>0.9899585081950716</v>
      </c>
    </row>
    <row r="277" spans="1:13" ht="12.75">
      <c r="A277" s="54" t="s">
        <v>16</v>
      </c>
      <c r="B277" s="130">
        <v>0.625</v>
      </c>
      <c r="C277" s="131">
        <v>0.578</v>
      </c>
      <c r="J277" s="63">
        <f>2*(B274-B275)*(0.5*C280+C279+C278+0.5*C277)+2*(B274-B275)*(C283+C280)</f>
        <v>0.33625</v>
      </c>
      <c r="K277" s="63">
        <f>2*(B274-B275)*(B274-B275)*(C280+3*C279+4*C278+2.5*C277)+2*2*(B274-B275)*(B274-B275)*0.5*C280</f>
        <v>0.14603125</v>
      </c>
      <c r="L277" s="63">
        <f t="shared" si="8"/>
        <v>0.4342936802973978</v>
      </c>
      <c r="M277" s="70">
        <f>SQRT((C277-C278)*(C277-C278)+(B277-B278)*(B277-B278))+SQRT((C278-C279)*(C278-C279)+(B278-B279)*(B278-B279))+SQRT((C279-C280)*(C279-C705)+(B279-B280)*(B279-B280))+SQRT((C280-C282)*(C280-C282)+(B280-B282)*(B280-B282))+C282</f>
        <v>0.8404626888555329</v>
      </c>
    </row>
    <row r="278" spans="1:14" ht="12.75">
      <c r="A278" s="54" t="s">
        <v>17</v>
      </c>
      <c r="B278" s="130">
        <v>0.5</v>
      </c>
      <c r="C278" s="131">
        <v>0.47</v>
      </c>
      <c r="J278" s="63">
        <f>2*(B274-B275)*(0.5*C280+C279+0.5*C278)+2*(B274-B275)*(C283+C280)</f>
        <v>0.20525000000000002</v>
      </c>
      <c r="K278" s="63">
        <f>2*(B274-B275)*(B274-B275)*(C280+3*C279+2*C278)+2*2*(B274-B275)*(B274-B275)*0.5*C280</f>
        <v>0.0715</v>
      </c>
      <c r="L278" s="63">
        <f t="shared" si="8"/>
        <v>0.3483556638246041</v>
      </c>
      <c r="M278" s="70">
        <f>SQRT((C278-C279)*(C278-C279)+(B278-B279)*(B278-B279))+SQRT((C279-C280)*(C279-C705)+(B279-B280)*(B279-B280))+SQRT((C280-C282)*(C280-C282)+(B280-B282)*(B280-B282))+C282</f>
        <v>0.6752688633050602</v>
      </c>
      <c r="N278" s="70"/>
    </row>
    <row r="279" spans="1:13" ht="12.75">
      <c r="A279" s="54" t="s">
        <v>18</v>
      </c>
      <c r="B279" s="130">
        <v>0.375</v>
      </c>
      <c r="C279" s="131">
        <v>0.34</v>
      </c>
      <c r="E279" s="63" t="s">
        <v>53</v>
      </c>
      <c r="J279" s="63">
        <f>2*(B274-B275)*(0.5*C280+0.5*C279)+2*(B274-B275)*(C283+C280)</f>
        <v>0.10400000000000001</v>
      </c>
      <c r="K279" s="63">
        <f>2*(B274-B275)*(B274-B275)*(C280+1.5*C279)+2*2*(B274-B275)*(B274-B275)*0.5*C280</f>
        <v>0.026187500000000002</v>
      </c>
      <c r="L279" s="63">
        <f t="shared" si="8"/>
        <v>0.25180288461538464</v>
      </c>
      <c r="M279" s="70">
        <f>SQRT((C279-C280)*(C279-C705)+(B279-B280)*(B279-B280))+SQRT((C280-C282)*(C280-C282)+(B280-B282)*(B280-B282))+C282</f>
        <v>0.49492197533634597</v>
      </c>
    </row>
    <row r="280" spans="1:13" ht="15.75">
      <c r="A280" s="54" t="s">
        <v>19</v>
      </c>
      <c r="B280" s="130">
        <v>0.25</v>
      </c>
      <c r="C280" s="131">
        <v>0.164</v>
      </c>
      <c r="E280" s="63" t="s">
        <v>209</v>
      </c>
      <c r="F280" s="72">
        <f>2*(B274-B275)*(0.5*C280+C279+C278+C277+C276+C275+0.5*C274)+2*(B274-B275)*(C283+C280)</f>
        <v>0.8475</v>
      </c>
      <c r="G280" s="63" t="s">
        <v>170</v>
      </c>
      <c r="J280" s="63">
        <f>2*(B274-B275)*(C283+C280)</f>
        <v>0.041</v>
      </c>
      <c r="K280" s="63">
        <f>2*2*(B274-B275)*(B274-B275)*0.5*C280</f>
        <v>0.005125</v>
      </c>
      <c r="L280" s="63">
        <f t="shared" si="8"/>
        <v>0.125</v>
      </c>
      <c r="M280" s="70">
        <f>SQRT((C280-C282)*(C280-C282)+(B280-B282)*(B280-B282))+C282</f>
        <v>0.22021303845951257</v>
      </c>
    </row>
    <row r="281" spans="1:3" ht="15.75">
      <c r="A281" s="54" t="s">
        <v>167</v>
      </c>
      <c r="B281" s="130">
        <v>0.17</v>
      </c>
      <c r="C281" s="131">
        <v>0.03</v>
      </c>
    </row>
    <row r="282" spans="1:5" ht="15.75">
      <c r="A282" s="54" t="s">
        <v>168</v>
      </c>
      <c r="B282" s="139">
        <v>0.115</v>
      </c>
      <c r="C282" s="131">
        <v>0.03</v>
      </c>
      <c r="E282" s="63" t="s">
        <v>55</v>
      </c>
    </row>
    <row r="283" spans="1:13" ht="15.75">
      <c r="A283" s="54" t="s">
        <v>160</v>
      </c>
      <c r="B283" s="130">
        <v>0</v>
      </c>
      <c r="C283" s="131">
        <v>0</v>
      </c>
      <c r="E283" s="63" t="s">
        <v>210</v>
      </c>
      <c r="F283" s="72">
        <f>2*(B274-B275)*(B274-B275)*(C280+3*C279+4*C278+5*C277+6*C276+7*C275+4*C274)+2*2*(B274-B275)*(B274-B275)*0.5*C280</f>
        <v>0.5665625</v>
      </c>
      <c r="G283" s="63" t="s">
        <v>174</v>
      </c>
      <c r="M283" s="70">
        <f>C283</f>
        <v>0</v>
      </c>
    </row>
    <row r="285" ht="12.75">
      <c r="E285" s="63" t="s">
        <v>79</v>
      </c>
    </row>
    <row r="286" spans="5:7" ht="15.75">
      <c r="E286" s="63" t="s">
        <v>211</v>
      </c>
      <c r="F286" s="71">
        <f>F283/F280</f>
        <v>0.6685103244837758</v>
      </c>
      <c r="G286" s="63" t="s">
        <v>56</v>
      </c>
    </row>
    <row r="288" ht="12.75">
      <c r="E288" s="67" t="s">
        <v>159</v>
      </c>
    </row>
    <row r="289" spans="5:7" ht="15.75">
      <c r="E289" s="63" t="s">
        <v>212</v>
      </c>
      <c r="F289" s="71">
        <f>SQRT((C274-C275)*(C274-C275)+(B274-B275)*(B274-B275))+SQRT((C275-C276)*(C275-C276)+(B275-B276)*(B275-B276))+SQRT((C276-C277)*(C276-C277)+(B276-B277)*(B276-B277))+SQRT((C277-C278)*(C277-C278)+(B277-B278)*(B277-B278))+SQRT((C278-C279)*(C278-C279)+(B278-B279)*(B278-B279))+SQRT((C279-C280)*(C279-C705)+(B279-B280)*(B279-B280))+SQRT((C280-C282)*(C280-C282)+(B280-B282)*(B280-B282))+C282</f>
        <v>1.2594472313189697</v>
      </c>
      <c r="G289" s="63" t="s">
        <v>56</v>
      </c>
    </row>
    <row r="290" ht="12.75">
      <c r="E290" s="67"/>
    </row>
    <row r="291" ht="12.75">
      <c r="F291" s="71"/>
    </row>
    <row r="294" ht="12.75">
      <c r="A294" s="66">
        <v>10</v>
      </c>
    </row>
    <row r="295" spans="1:3" ht="12.75">
      <c r="A295" s="59" t="s">
        <v>300</v>
      </c>
      <c r="B295" s="54" t="s">
        <v>7</v>
      </c>
      <c r="C295" s="54" t="s">
        <v>6</v>
      </c>
    </row>
    <row r="296" spans="1:3" ht="12.75">
      <c r="A296" s="54" t="s">
        <v>4</v>
      </c>
      <c r="B296" s="134">
        <v>1.578</v>
      </c>
      <c r="C296" s="131">
        <v>0.475</v>
      </c>
    </row>
    <row r="297" spans="1:3" ht="12.75">
      <c r="A297" s="54" t="s">
        <v>9</v>
      </c>
      <c r="B297" s="130">
        <v>1.5</v>
      </c>
      <c r="C297" s="131">
        <v>0.421</v>
      </c>
    </row>
    <row r="298" spans="1:3" ht="12.75">
      <c r="A298" s="54" t="s">
        <v>10</v>
      </c>
      <c r="B298" s="130">
        <v>1.375</v>
      </c>
      <c r="C298" s="131">
        <v>0.343</v>
      </c>
    </row>
    <row r="299" spans="1:13" ht="15.75">
      <c r="A299" s="54" t="s">
        <v>11</v>
      </c>
      <c r="B299" s="130">
        <v>1.25</v>
      </c>
      <c r="C299" s="131">
        <v>0.226</v>
      </c>
      <c r="J299" s="63" t="s">
        <v>164</v>
      </c>
      <c r="K299" s="63" t="s">
        <v>86</v>
      </c>
      <c r="L299" s="63" t="s">
        <v>171</v>
      </c>
      <c r="M299" s="63" t="s">
        <v>165</v>
      </c>
    </row>
    <row r="300" spans="1:13" ht="12.75">
      <c r="A300" s="54" t="s">
        <v>12</v>
      </c>
      <c r="B300" s="130">
        <v>1.125</v>
      </c>
      <c r="C300" s="131">
        <v>0.066</v>
      </c>
      <c r="J300" s="63">
        <f>2*(B303-B304)*(0.5*C303+0.5*C300)</f>
        <v>0.012</v>
      </c>
      <c r="K300" s="63">
        <f>2*(B303-B304)*(B303-B304)*(4*C303+4.5*C300)</f>
        <v>0.013031250000000001</v>
      </c>
      <c r="L300" s="63">
        <f>K300/J300</f>
        <v>1.0859375</v>
      </c>
      <c r="M300" s="70">
        <f>SQRT((C300-C303)*(C300-C303)+(B300-B303)*(B300-B303))+C303</f>
        <v>0.160080744155313</v>
      </c>
    </row>
    <row r="301" spans="1:3" ht="15.75">
      <c r="A301" s="54" t="s">
        <v>167</v>
      </c>
      <c r="B301" s="130">
        <v>1.1</v>
      </c>
      <c r="C301" s="131">
        <v>0.03</v>
      </c>
    </row>
    <row r="302" spans="1:3" ht="15.75">
      <c r="A302" s="54" t="s">
        <v>168</v>
      </c>
      <c r="B302" s="139">
        <v>1</v>
      </c>
      <c r="C302" s="131">
        <v>0.03</v>
      </c>
    </row>
    <row r="303" spans="1:3" ht="12.75">
      <c r="A303" s="54" t="s">
        <v>13</v>
      </c>
      <c r="B303" s="130">
        <v>1</v>
      </c>
      <c r="C303" s="137">
        <v>0.03</v>
      </c>
    </row>
    <row r="304" spans="1:13" ht="12.75">
      <c r="A304" s="54" t="s">
        <v>14</v>
      </c>
      <c r="B304" s="130">
        <v>0.875</v>
      </c>
      <c r="C304" s="131">
        <v>0</v>
      </c>
      <c r="J304" s="63">
        <f>2*(B303-B304)*(0.5*C309+C308+C307+C306+C305+0.5*C304)+2*(B303-B304)*(C310+C309)</f>
        <v>0</v>
      </c>
      <c r="K304" s="63">
        <f>2*(B303-B304)*(B303-B304)*(C309+3*C308+4*C307+5*C306+6*C305+3.5*C304)+2*2*(B303-B304)*(B303-B304)*0.5*C309</f>
        <v>0</v>
      </c>
      <c r="L304" s="69">
        <f aca="true" t="shared" si="9" ref="L304:M309">B304</f>
        <v>0.875</v>
      </c>
      <c r="M304" s="70">
        <f t="shared" si="9"/>
        <v>0</v>
      </c>
    </row>
    <row r="305" spans="1:13" ht="12.75">
      <c r="A305" s="54" t="s">
        <v>15</v>
      </c>
      <c r="B305" s="130">
        <v>0.75</v>
      </c>
      <c r="C305" s="140">
        <v>0</v>
      </c>
      <c r="J305" s="63">
        <f>2*(B303-B304)*(0.5*C309+C308+C307+C306+0.5*C305)+2*(B303-B304)*(C310+C309)</f>
        <v>0</v>
      </c>
      <c r="K305" s="63">
        <f>2*(B303-B304)*(B303-B304)*(C309+3*C308+4*C307+5*C306+3*C305)+2*2*(B303-B304)*(B303-B304)*0.5*C309</f>
        <v>0</v>
      </c>
      <c r="L305" s="69">
        <f t="shared" si="9"/>
        <v>0.75</v>
      </c>
      <c r="M305" s="70">
        <f t="shared" si="9"/>
        <v>0</v>
      </c>
    </row>
    <row r="306" spans="1:13" ht="12.75">
      <c r="A306" s="54" t="s">
        <v>16</v>
      </c>
      <c r="B306" s="130">
        <v>0.625</v>
      </c>
      <c r="C306" s="131">
        <v>0</v>
      </c>
      <c r="E306" s="63" t="s">
        <v>53</v>
      </c>
      <c r="J306" s="63">
        <f>2*(B303-B304)*(0.5*C309+C308+C307+0.5*C306)+2*(B303-B304)*(C310+C309)</f>
        <v>0</v>
      </c>
      <c r="K306" s="63">
        <f>2*(B303-B304)*(B303-B304)*(C309+3*C308+4*C307+2.5*C306)+2*2*(B303-B304)*(B303-B304)*0.5*C309</f>
        <v>0</v>
      </c>
      <c r="L306" s="69">
        <f t="shared" si="9"/>
        <v>0.625</v>
      </c>
      <c r="M306" s="70">
        <f t="shared" si="9"/>
        <v>0</v>
      </c>
    </row>
    <row r="307" spans="1:13" ht="15.75">
      <c r="A307" s="54" t="s">
        <v>17</v>
      </c>
      <c r="B307" s="130">
        <v>0.5</v>
      </c>
      <c r="C307" s="131">
        <v>0</v>
      </c>
      <c r="E307" s="63" t="s">
        <v>213</v>
      </c>
      <c r="F307" s="72">
        <f>2*(B303-B304)*(C310+C309)</f>
        <v>0</v>
      </c>
      <c r="G307" s="63" t="s">
        <v>170</v>
      </c>
      <c r="J307" s="63">
        <f>2*(B303-B304)*(0.5*C309+C308+0.5*C307)+2*(B303-B304)*(C310+C309)</f>
        <v>0</v>
      </c>
      <c r="K307" s="63">
        <f>2*(B303-B304)*(B303-B304)*(C309+3*C308+2*C307)+2*2*(B303-B304)*(B303-B304)*0.5*C309</f>
        <v>0</v>
      </c>
      <c r="L307" s="69">
        <f t="shared" si="9"/>
        <v>0.5</v>
      </c>
      <c r="M307" s="70">
        <f t="shared" si="9"/>
        <v>0</v>
      </c>
    </row>
    <row r="308" spans="1:13" ht="12.75">
      <c r="A308" s="54" t="s">
        <v>18</v>
      </c>
      <c r="B308" s="130">
        <v>0.375</v>
      </c>
      <c r="C308" s="131">
        <v>0</v>
      </c>
      <c r="J308" s="63">
        <f>2*(B303-B304)*(0.5*C309+0.5*C308)+2*(B303-B304)*(C310+C309)</f>
        <v>0</v>
      </c>
      <c r="K308" s="63">
        <f>2*(B303-B304)*(B303-B304)*(C309+1.5*C308)+2*2*(B303-B304)*(B303-B304)*0.5*C309</f>
        <v>0</v>
      </c>
      <c r="L308" s="69">
        <f t="shared" si="9"/>
        <v>0.375</v>
      </c>
      <c r="M308" s="70">
        <f t="shared" si="9"/>
        <v>0</v>
      </c>
    </row>
    <row r="309" spans="1:13" ht="12.75">
      <c r="A309" s="54" t="s">
        <v>19</v>
      </c>
      <c r="B309" s="130">
        <v>0.25</v>
      </c>
      <c r="C309" s="131">
        <v>0</v>
      </c>
      <c r="E309" s="63" t="s">
        <v>55</v>
      </c>
      <c r="J309" s="63">
        <f>2*(B303-B304)*(C310+C309)</f>
        <v>0</v>
      </c>
      <c r="K309" s="63">
        <f>2*2*(B303-B304)*(B303-B304)*0.5*C309</f>
        <v>0</v>
      </c>
      <c r="L309" s="69">
        <f t="shared" si="9"/>
        <v>0.25</v>
      </c>
      <c r="M309" s="70">
        <f t="shared" si="9"/>
        <v>0</v>
      </c>
    </row>
    <row r="310" spans="1:13" ht="15.75">
      <c r="A310" s="54" t="s">
        <v>160</v>
      </c>
      <c r="B310" s="130">
        <v>0</v>
      </c>
      <c r="C310" s="131">
        <v>0</v>
      </c>
      <c r="E310" s="63" t="s">
        <v>214</v>
      </c>
      <c r="F310" s="72">
        <f>2*2*(B303-B304)*(B303-B304)*0.5*C309</f>
        <v>0</v>
      </c>
      <c r="G310" s="63" t="s">
        <v>174</v>
      </c>
      <c r="M310" s="70">
        <f>C310</f>
        <v>0</v>
      </c>
    </row>
    <row r="312" ht="12.75">
      <c r="E312" s="63" t="s">
        <v>79</v>
      </c>
    </row>
    <row r="313" spans="5:7" ht="15.75">
      <c r="E313" s="63" t="s">
        <v>215</v>
      </c>
      <c r="F313" s="71">
        <f>B303</f>
        <v>1</v>
      </c>
      <c r="G313" s="63" t="s">
        <v>56</v>
      </c>
    </row>
    <row r="315" spans="5:14" ht="12.75">
      <c r="E315" s="67" t="s">
        <v>159</v>
      </c>
      <c r="N315" s="70"/>
    </row>
    <row r="316" spans="5:7" ht="15.75">
      <c r="E316" s="63" t="s">
        <v>216</v>
      </c>
      <c r="F316" s="71">
        <f>C303</f>
        <v>0.03</v>
      </c>
      <c r="G316" s="63" t="s">
        <v>56</v>
      </c>
    </row>
    <row r="317" ht="12.75">
      <c r="E317" s="67"/>
    </row>
    <row r="319" ht="12.75">
      <c r="A319" s="73"/>
    </row>
    <row r="320" ht="12.75">
      <c r="A320" s="73" t="s">
        <v>228</v>
      </c>
    </row>
    <row r="321" spans="1:9" ht="12.75">
      <c r="A321" s="59" t="s">
        <v>160</v>
      </c>
      <c r="B321" s="59" t="s">
        <v>19</v>
      </c>
      <c r="C321" s="59" t="s">
        <v>18</v>
      </c>
      <c r="D321" s="59" t="s">
        <v>17</v>
      </c>
      <c r="E321" s="59" t="s">
        <v>16</v>
      </c>
      <c r="F321" s="59" t="s">
        <v>15</v>
      </c>
      <c r="G321" s="59" t="s">
        <v>14</v>
      </c>
      <c r="H321" s="59" t="s">
        <v>13</v>
      </c>
      <c r="I321" s="59" t="s">
        <v>12</v>
      </c>
    </row>
    <row r="322" spans="1:9" ht="12.75">
      <c r="A322" s="141">
        <v>0</v>
      </c>
      <c r="B322" s="141">
        <v>0</v>
      </c>
      <c r="C322" s="141">
        <v>0</v>
      </c>
      <c r="D322" s="141">
        <v>0</v>
      </c>
      <c r="E322" s="141">
        <v>0</v>
      </c>
      <c r="F322" s="141">
        <v>0</v>
      </c>
      <c r="G322" s="141">
        <v>0</v>
      </c>
      <c r="H322" s="141">
        <v>0</v>
      </c>
      <c r="I322" s="141">
        <v>0.25</v>
      </c>
    </row>
    <row r="323" spans="1:9" ht="12.75">
      <c r="A323" s="141">
        <v>0</v>
      </c>
      <c r="B323" s="141">
        <v>0.015</v>
      </c>
      <c r="C323" s="141">
        <v>0.0225</v>
      </c>
      <c r="D323" s="141">
        <v>0.0601</v>
      </c>
      <c r="E323" s="141">
        <v>0.1946</v>
      </c>
      <c r="F323" s="141">
        <v>0.4271</v>
      </c>
      <c r="G323" s="141">
        <v>0.6977</v>
      </c>
      <c r="H323" s="141">
        <v>0.9774</v>
      </c>
      <c r="I323" s="141">
        <v>1.2591</v>
      </c>
    </row>
    <row r="324" spans="1:9" ht="12.75">
      <c r="A324" s="141">
        <v>0</v>
      </c>
      <c r="B324" s="141">
        <v>0.015</v>
      </c>
      <c r="C324" s="141">
        <v>0.064</v>
      </c>
      <c r="D324" s="141">
        <v>0.2161</v>
      </c>
      <c r="E324" s="141">
        <v>0.4639</v>
      </c>
      <c r="F324" s="141">
        <v>0.7566</v>
      </c>
      <c r="G324" s="141">
        <v>1.0632</v>
      </c>
      <c r="H324" s="141">
        <v>1.3735</v>
      </c>
      <c r="I324" s="141">
        <v>1.6845</v>
      </c>
    </row>
    <row r="325" spans="1:9" ht="12.75">
      <c r="A325" s="141">
        <v>0</v>
      </c>
      <c r="B325" s="141">
        <v>0.074</v>
      </c>
      <c r="C325" s="141">
        <v>0.1969</v>
      </c>
      <c r="D325" s="141">
        <v>0.424</v>
      </c>
      <c r="E325" s="141">
        <v>0.7182</v>
      </c>
      <c r="F325" s="141">
        <v>1.0387</v>
      </c>
      <c r="G325" s="141">
        <v>1.3677</v>
      </c>
      <c r="H325" s="141">
        <v>1.6988</v>
      </c>
      <c r="I325" s="141">
        <v>2.0302</v>
      </c>
    </row>
    <row r="326" spans="1:9" ht="12.75">
      <c r="A326" s="141">
        <v>0</v>
      </c>
      <c r="B326" s="141">
        <v>0.1375</v>
      </c>
      <c r="C326" s="141">
        <v>0.3207</v>
      </c>
      <c r="D326" s="141">
        <v>0.5877</v>
      </c>
      <c r="E326" s="141">
        <v>0.904</v>
      </c>
      <c r="F326" s="141">
        <v>1.2404</v>
      </c>
      <c r="G326" s="141">
        <v>1.583</v>
      </c>
      <c r="H326" s="141">
        <v>1.9273</v>
      </c>
      <c r="I326" s="141">
        <v>2.2724</v>
      </c>
    </row>
    <row r="327" spans="1:9" ht="12.75">
      <c r="A327" s="141">
        <v>0</v>
      </c>
      <c r="B327" s="141">
        <v>0.1662</v>
      </c>
      <c r="C327" s="141">
        <v>0.374</v>
      </c>
      <c r="D327" s="141">
        <v>0.6586</v>
      </c>
      <c r="E327" s="141">
        <v>0.9842</v>
      </c>
      <c r="F327" s="141">
        <v>1.327</v>
      </c>
      <c r="G327" s="141">
        <v>1.6747</v>
      </c>
      <c r="H327" s="141">
        <v>2.0239</v>
      </c>
      <c r="I327" s="141">
        <v>2.3736</v>
      </c>
    </row>
    <row r="328" spans="1:9" ht="12.75">
      <c r="A328" s="141">
        <v>0</v>
      </c>
      <c r="B328" s="141">
        <v>0.1662</v>
      </c>
      <c r="C328" s="141">
        <v>0.3715</v>
      </c>
      <c r="D328" s="141">
        <v>0.6485</v>
      </c>
      <c r="E328" s="141">
        <v>0.9634</v>
      </c>
      <c r="F328" s="141">
        <v>1.2952</v>
      </c>
      <c r="G328" s="141">
        <v>1.634</v>
      </c>
      <c r="H328" s="141">
        <v>1.9768</v>
      </c>
      <c r="I328" s="141">
        <v>2.322</v>
      </c>
    </row>
    <row r="329" spans="1:9" ht="12.75">
      <c r="A329" s="141">
        <v>0</v>
      </c>
      <c r="B329" s="141">
        <v>0.1617</v>
      </c>
      <c r="C329" s="141">
        <v>0.3509</v>
      </c>
      <c r="D329" s="141">
        <v>0.5999</v>
      </c>
      <c r="E329" s="141">
        <v>0.8856</v>
      </c>
      <c r="F329" s="141">
        <v>1.1899</v>
      </c>
      <c r="G329" s="141">
        <v>1.5047</v>
      </c>
      <c r="H329" s="141">
        <v>1.8256</v>
      </c>
      <c r="I329" s="141">
        <v>2.1502</v>
      </c>
    </row>
    <row r="330" spans="1:9" ht="12.75">
      <c r="A330" s="141">
        <v>0</v>
      </c>
      <c r="B330" s="141">
        <v>0.1275</v>
      </c>
      <c r="C330" s="141">
        <v>0.2741</v>
      </c>
      <c r="D330" s="141">
        <v>0.4672</v>
      </c>
      <c r="E330" s="141">
        <v>0.6929</v>
      </c>
      <c r="F330" s="141">
        <v>0.9404</v>
      </c>
      <c r="G330" s="141">
        <v>1.2035</v>
      </c>
      <c r="H330" s="141">
        <v>1.4774</v>
      </c>
      <c r="I330" s="141">
        <v>1.7591</v>
      </c>
    </row>
    <row r="331" spans="1:9" ht="12.75">
      <c r="A331" s="141">
        <v>0</v>
      </c>
      <c r="B331" s="141">
        <v>0.041</v>
      </c>
      <c r="C331" s="141">
        <v>0.104</v>
      </c>
      <c r="D331" s="141">
        <v>0.2052</v>
      </c>
      <c r="E331" s="141">
        <v>0.3362</v>
      </c>
      <c r="F331" s="141">
        <v>0.491</v>
      </c>
      <c r="G331" s="141">
        <v>0.663</v>
      </c>
      <c r="H331" s="141">
        <v>0.8475</v>
      </c>
      <c r="I331" s="141">
        <v>1.0431</v>
      </c>
    </row>
    <row r="332" spans="1:9" ht="12.75">
      <c r="A332" s="141">
        <v>0</v>
      </c>
      <c r="B332" s="141">
        <v>0</v>
      </c>
      <c r="C332" s="141">
        <v>0</v>
      </c>
      <c r="D332" s="141">
        <v>0</v>
      </c>
      <c r="E332" s="141">
        <v>0</v>
      </c>
      <c r="F332" s="141">
        <v>0</v>
      </c>
      <c r="G332" s="141">
        <v>0</v>
      </c>
      <c r="H332" s="141">
        <v>0</v>
      </c>
      <c r="I332" s="141">
        <v>0.012</v>
      </c>
    </row>
    <row r="334" ht="12.75">
      <c r="A334" s="63" t="s">
        <v>217</v>
      </c>
    </row>
    <row r="339" ht="12.75">
      <c r="A339" s="63" t="s">
        <v>218</v>
      </c>
    </row>
    <row r="349" ht="12.75">
      <c r="A349" s="63" t="s">
        <v>219</v>
      </c>
    </row>
    <row r="361" ht="12.75">
      <c r="A361" s="63" t="s">
        <v>220</v>
      </c>
    </row>
    <row r="376" ht="12.75">
      <c r="A376" s="63" t="s">
        <v>221</v>
      </c>
    </row>
    <row r="390" ht="12.75">
      <c r="A390" s="63" t="s">
        <v>222</v>
      </c>
    </row>
    <row r="404" ht="12.75">
      <c r="A404" s="63" t="s">
        <v>223</v>
      </c>
    </row>
    <row r="418" ht="12.75">
      <c r="A418" s="63" t="s">
        <v>224</v>
      </c>
    </row>
    <row r="432" ht="12.75">
      <c r="A432" s="63" t="s">
        <v>225</v>
      </c>
    </row>
    <row r="445" ht="12.75">
      <c r="A445" s="63" t="s">
        <v>226</v>
      </c>
    </row>
    <row r="454" ht="12.75">
      <c r="A454" s="63" t="s">
        <v>227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1">
      <selection activeCell="M16" sqref="M16"/>
    </sheetView>
  </sheetViews>
  <sheetFormatPr defaultColWidth="9.140625" defaultRowHeight="12.75"/>
  <cols>
    <col min="1" max="15" width="8.57421875" style="0" customWidth="1"/>
  </cols>
  <sheetData>
    <row r="1" spans="1:15" ht="12.75">
      <c r="A1" s="61" t="s">
        <v>307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106" t="s">
        <v>304</v>
      </c>
      <c r="B2" s="48" t="s">
        <v>30</v>
      </c>
      <c r="C2" s="48">
        <v>0</v>
      </c>
      <c r="D2" s="48">
        <v>1</v>
      </c>
      <c r="E2" s="48">
        <v>2</v>
      </c>
      <c r="F2" s="48">
        <v>3</v>
      </c>
      <c r="G2" s="48">
        <v>4</v>
      </c>
      <c r="H2" s="48">
        <v>5</v>
      </c>
      <c r="I2" s="48">
        <v>6</v>
      </c>
      <c r="J2" s="48">
        <v>7</v>
      </c>
      <c r="K2" s="48">
        <v>8</v>
      </c>
      <c r="L2" s="48">
        <v>9</v>
      </c>
      <c r="M2" s="48">
        <v>10</v>
      </c>
      <c r="N2" s="48" t="s">
        <v>31</v>
      </c>
      <c r="O2" s="48" t="s">
        <v>32</v>
      </c>
    </row>
    <row r="3" spans="1:15" ht="12.75">
      <c r="A3" s="59" t="s">
        <v>7</v>
      </c>
      <c r="B3" s="142">
        <v>0.9618</v>
      </c>
      <c r="C3" s="142">
        <v>0.9618</v>
      </c>
      <c r="D3" s="142">
        <v>0.95826</v>
      </c>
      <c r="E3" s="142">
        <v>0.95472</v>
      </c>
      <c r="F3" s="142">
        <v>0.9512</v>
      </c>
      <c r="G3" s="142">
        <v>0.9476</v>
      </c>
      <c r="H3" s="142">
        <v>0.9441</v>
      </c>
      <c r="I3" s="142">
        <v>0.94056</v>
      </c>
      <c r="J3" s="142">
        <v>0.93702</v>
      </c>
      <c r="K3" s="142">
        <v>0.93348</v>
      </c>
      <c r="L3" s="142">
        <v>0.92994</v>
      </c>
      <c r="M3" s="142">
        <v>0.9264</v>
      </c>
      <c r="N3" s="142">
        <v>0.9264</v>
      </c>
      <c r="O3" s="142">
        <v>0.9264</v>
      </c>
    </row>
    <row r="4" spans="1:15" ht="12.75">
      <c r="A4" s="48" t="s">
        <v>5</v>
      </c>
      <c r="B4" s="143">
        <v>-3.5</v>
      </c>
      <c r="C4" s="143">
        <v>-3.5</v>
      </c>
      <c r="D4" s="143">
        <v>-2.8</v>
      </c>
      <c r="E4" s="143">
        <v>-2.1</v>
      </c>
      <c r="F4" s="143">
        <v>-1.4</v>
      </c>
      <c r="G4" s="143">
        <v>-0.7</v>
      </c>
      <c r="H4" s="143">
        <v>0</v>
      </c>
      <c r="I4" s="143">
        <v>0.7</v>
      </c>
      <c r="J4" s="143">
        <v>1.4</v>
      </c>
      <c r="K4" s="143">
        <v>2.1</v>
      </c>
      <c r="L4" s="143">
        <v>2.8</v>
      </c>
      <c r="M4" s="143">
        <v>3.5</v>
      </c>
      <c r="N4" s="143">
        <v>3.442</v>
      </c>
      <c r="O4" s="143">
        <v>3.5</v>
      </c>
    </row>
    <row r="5" spans="1:15" ht="12.75">
      <c r="A5" s="48" t="s">
        <v>6</v>
      </c>
      <c r="B5" s="143">
        <v>0.991</v>
      </c>
      <c r="C5" s="143">
        <v>0.991</v>
      </c>
      <c r="D5" s="143">
        <v>1.121</v>
      </c>
      <c r="E5" s="143">
        <v>1.242</v>
      </c>
      <c r="F5" s="143">
        <v>1.325</v>
      </c>
      <c r="G5" s="143">
        <v>1.378</v>
      </c>
      <c r="H5" s="143">
        <v>1.397</v>
      </c>
      <c r="I5" s="143">
        <v>1.371</v>
      </c>
      <c r="J5" s="143">
        <v>1.283</v>
      </c>
      <c r="K5" s="143">
        <v>1.094</v>
      </c>
      <c r="L5" s="143">
        <v>0.735</v>
      </c>
      <c r="M5" s="143">
        <v>0.03</v>
      </c>
      <c r="N5" s="143">
        <v>0.03</v>
      </c>
      <c r="O5" s="143">
        <v>0.03</v>
      </c>
    </row>
    <row r="6" spans="1:15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13.5">
      <c r="A16" s="58" t="s">
        <v>53</v>
      </c>
      <c r="B16" s="58"/>
      <c r="C16" s="34" t="s">
        <v>60</v>
      </c>
      <c r="D16" s="58">
        <f>2*(0.5*C5+D5+E5+F5+G5+H5+I5+J5+K5+L5+0.5*M5)*(I4-H4)</f>
        <v>16.039099999999998</v>
      </c>
      <c r="E16" s="58" t="s">
        <v>61</v>
      </c>
      <c r="F16" s="34" t="s">
        <v>62</v>
      </c>
      <c r="G16" s="58">
        <f>(C4-B4)*(B5+C5)</f>
        <v>0</v>
      </c>
      <c r="H16" s="58" t="s">
        <v>61</v>
      </c>
      <c r="I16" s="34" t="s">
        <v>63</v>
      </c>
      <c r="J16" s="58">
        <f>(O4-M4)*(O5+M5)</f>
        <v>0</v>
      </c>
      <c r="K16" s="58" t="s">
        <v>61</v>
      </c>
      <c r="L16" s="34" t="s">
        <v>64</v>
      </c>
      <c r="M16" s="58">
        <f>D16+G16+J16</f>
        <v>16.039099999999998</v>
      </c>
      <c r="N16" s="58" t="s">
        <v>61</v>
      </c>
      <c r="O16" s="58"/>
    </row>
    <row r="17" spans="1:15" ht="14.25">
      <c r="A17" s="58" t="s">
        <v>55</v>
      </c>
      <c r="B17" s="58"/>
      <c r="C17" s="34" t="s">
        <v>65</v>
      </c>
      <c r="D17" s="58">
        <f>2*(I4-H4)*(I4-H4)*((-2.5)*C5+(-4)*D5+(-3)*E5+(-2)*F5-G5+I5+2*J5+3*K5+4*L5+2.5*M5)+0.5*(H4-B4)*(C4-B4)*(C5+B5)+0.5*(O4-H4)*(O4-M4)*(M5+O5)</f>
        <v>-4.391870000000001</v>
      </c>
      <c r="E17" s="58" t="s">
        <v>66</v>
      </c>
      <c r="F17" s="58" t="s">
        <v>54</v>
      </c>
      <c r="G17" s="58"/>
      <c r="H17" s="34" t="s">
        <v>67</v>
      </c>
      <c r="I17" s="58">
        <f>D17/M16</f>
        <v>-0.2738227207262254</v>
      </c>
      <c r="J17" s="58" t="s">
        <v>56</v>
      </c>
      <c r="K17" s="58" t="s">
        <v>57</v>
      </c>
      <c r="L17" s="60" t="s">
        <v>68</v>
      </c>
      <c r="M17" s="58">
        <f>2/3*(I4-H4)*(0.5*C5*C5*C5+D5*D5*D5+E5*E5*E5+F5*F5*F5+G5*G5*G5+H5*H5*H5+I5*I5*I5+J5*J5*J5+K5*K5*K5+L5*L5*L5+0.5*M5*M5*M5)+0.25*(C4-B4)*(B5+C5)*(B5+C5)*(B5+C5)+0.25*(O4-M4)*(M5+O5)*(M5+O5)*(M5+O5)</f>
        <v>8.342030989366666</v>
      </c>
      <c r="N17" s="58" t="s">
        <v>69</v>
      </c>
      <c r="O17" s="58"/>
    </row>
    <row r="18" spans="1:15" ht="14.25">
      <c r="A18" s="58" t="s">
        <v>58</v>
      </c>
      <c r="B18" s="58"/>
      <c r="C18" s="60" t="s">
        <v>70</v>
      </c>
      <c r="D18" s="58">
        <f>M16/((M4-C4)*2*H5)</f>
        <v>0.8200787401574802</v>
      </c>
      <c r="E18" s="58"/>
      <c r="F18" s="58"/>
      <c r="G18" s="58"/>
      <c r="H18" s="58"/>
      <c r="I18" s="58"/>
      <c r="J18" s="58"/>
      <c r="K18" s="58"/>
      <c r="L18" s="60" t="s">
        <v>71</v>
      </c>
      <c r="M18" s="58">
        <f>2*(I4-H4)*(I4-H4)*(I4-H4)*(12.5*C5+16*D5+9*E5+4*F5+G5+I5+4*J5+9*K5+16*L5+12.5*M5)+0.25*(H4-B4)*(H4-B4)*(B5+C5)*(B4-C4)+0.25*(O4-H4)*(O4-H4)*(M5+O5)*(O4-M4)</f>
        <v>52.591160999999985</v>
      </c>
      <c r="N18" s="58" t="s">
        <v>69</v>
      </c>
      <c r="O18" s="58"/>
    </row>
    <row r="19" spans="1:15" ht="12.75">
      <c r="A19" s="61" t="s">
        <v>72</v>
      </c>
      <c r="O19" s="58"/>
    </row>
    <row r="20" spans="1:15" ht="12.75">
      <c r="A20" s="106" t="s">
        <v>305</v>
      </c>
      <c r="B20" s="48" t="s">
        <v>30</v>
      </c>
      <c r="C20" s="48">
        <v>0</v>
      </c>
      <c r="D20" s="48">
        <v>1</v>
      </c>
      <c r="E20" s="48">
        <v>2</v>
      </c>
      <c r="F20" s="48">
        <v>3</v>
      </c>
      <c r="G20" s="48">
        <v>4</v>
      </c>
      <c r="H20" s="48">
        <v>5</v>
      </c>
      <c r="I20" s="48">
        <v>6</v>
      </c>
      <c r="J20" s="48">
        <v>7</v>
      </c>
      <c r="K20" s="48">
        <v>8</v>
      </c>
      <c r="L20" s="48">
        <v>9</v>
      </c>
      <c r="M20" s="48">
        <v>10</v>
      </c>
      <c r="N20" s="48" t="s">
        <v>31</v>
      </c>
      <c r="O20" s="48" t="s">
        <v>32</v>
      </c>
    </row>
    <row r="21" spans="1:15" ht="12.75">
      <c r="A21" s="59" t="s">
        <v>7</v>
      </c>
      <c r="B21" s="142">
        <v>0.987</v>
      </c>
      <c r="C21" s="142">
        <v>0.987</v>
      </c>
      <c r="D21" s="142">
        <v>0.986</v>
      </c>
      <c r="E21" s="142">
        <v>0.985</v>
      </c>
      <c r="F21" s="142">
        <v>0.983</v>
      </c>
      <c r="G21" s="142">
        <v>0.982</v>
      </c>
      <c r="H21" s="142">
        <v>0.981</v>
      </c>
      <c r="I21" s="142">
        <v>0.98</v>
      </c>
      <c r="J21" s="142">
        <v>0.979</v>
      </c>
      <c r="K21" s="142">
        <v>0.977</v>
      </c>
      <c r="L21" s="142">
        <v>0.976</v>
      </c>
      <c r="M21" s="142">
        <v>0.975</v>
      </c>
      <c r="N21" s="142">
        <v>0.975</v>
      </c>
      <c r="O21" s="142">
        <v>0.975</v>
      </c>
    </row>
    <row r="22" spans="1:15" ht="12.75">
      <c r="A22" s="48" t="s">
        <v>5</v>
      </c>
      <c r="B22" s="143">
        <v>-3.5</v>
      </c>
      <c r="C22" s="143">
        <v>-3.5</v>
      </c>
      <c r="D22" s="143">
        <v>-2.8</v>
      </c>
      <c r="E22" s="143">
        <v>-2.1</v>
      </c>
      <c r="F22" s="143">
        <v>-1.4</v>
      </c>
      <c r="G22" s="143">
        <v>-0.7</v>
      </c>
      <c r="H22" s="143">
        <v>0</v>
      </c>
      <c r="I22" s="143">
        <v>0.7</v>
      </c>
      <c r="J22" s="143">
        <v>1.4</v>
      </c>
      <c r="K22" s="143">
        <v>2.1</v>
      </c>
      <c r="L22" s="143">
        <v>2.8</v>
      </c>
      <c r="M22" s="143">
        <v>3.5</v>
      </c>
      <c r="N22" s="143">
        <v>3.442</v>
      </c>
      <c r="O22" s="143">
        <v>3.5</v>
      </c>
    </row>
    <row r="23" spans="1:15" ht="12.75">
      <c r="A23" s="48" t="s">
        <v>6</v>
      </c>
      <c r="B23" s="143">
        <v>0.988</v>
      </c>
      <c r="C23" s="143">
        <v>0.988</v>
      </c>
      <c r="D23" s="143">
        <v>1.126</v>
      </c>
      <c r="E23" s="143">
        <v>1.244</v>
      </c>
      <c r="F23" s="143">
        <v>1.326</v>
      </c>
      <c r="G23" s="143">
        <v>1.379</v>
      </c>
      <c r="H23" s="143">
        <v>1.4</v>
      </c>
      <c r="I23" s="143">
        <v>1.375</v>
      </c>
      <c r="J23" s="143">
        <v>1.289</v>
      </c>
      <c r="K23" s="143">
        <v>1.107</v>
      </c>
      <c r="L23" s="143">
        <v>0.752</v>
      </c>
      <c r="M23" s="143">
        <v>0.03</v>
      </c>
      <c r="N23" s="143">
        <v>0.03</v>
      </c>
      <c r="O23" s="143">
        <v>0.03</v>
      </c>
    </row>
    <row r="24" spans="1:15" ht="12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12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3.5">
      <c r="A34" s="58" t="s">
        <v>53</v>
      </c>
      <c r="B34" s="58"/>
      <c r="C34" s="34" t="s">
        <v>60</v>
      </c>
      <c r="D34" s="58">
        <f>2*(0.5*C23+D23+E23+F23+G23+H23+I23+J23+K23+L23+0.5*M23)*(I22-H22)</f>
        <v>16.1098</v>
      </c>
      <c r="E34" s="58" t="s">
        <v>61</v>
      </c>
      <c r="F34" s="34" t="s">
        <v>62</v>
      </c>
      <c r="G34" s="58">
        <f>(C22-B22)*(B23+C23)</f>
        <v>0</v>
      </c>
      <c r="H34" s="58" t="s">
        <v>61</v>
      </c>
      <c r="I34" s="34" t="s">
        <v>63</v>
      </c>
      <c r="J34" s="58">
        <f>(O22-M22)*(O23+M23)</f>
        <v>0</v>
      </c>
      <c r="K34" s="58" t="s">
        <v>61</v>
      </c>
      <c r="L34" s="34" t="s">
        <v>64</v>
      </c>
      <c r="M34" s="58">
        <f>D34+G34+J34</f>
        <v>16.1098</v>
      </c>
      <c r="N34" s="58" t="s">
        <v>61</v>
      </c>
      <c r="O34" s="58"/>
    </row>
    <row r="35" spans="1:15" ht="14.25">
      <c r="A35" s="58" t="s">
        <v>55</v>
      </c>
      <c r="B35" s="58"/>
      <c r="C35" s="34" t="s">
        <v>65</v>
      </c>
      <c r="D35" s="58">
        <f>2*(I22-H22)*(I22-H22)*((-2.5)*C23+(-4)*D23+(-3)*E23+(-2)*F23-G23+I23+2*J23+3*K23+4*L23+2.5*M23)+0.5*(H22-B22)*(C22-B22)*(C23+B23)+0.5*(O22-H22)*(O22-M22)*(M23+O23)</f>
        <v>-4.2924</v>
      </c>
      <c r="E35" s="58" t="s">
        <v>66</v>
      </c>
      <c r="F35" s="58" t="s">
        <v>54</v>
      </c>
      <c r="G35" s="58"/>
      <c r="H35" s="34" t="s">
        <v>67</v>
      </c>
      <c r="I35" s="58">
        <f>D35/M34</f>
        <v>-0.26644651081950116</v>
      </c>
      <c r="J35" s="58" t="s">
        <v>56</v>
      </c>
      <c r="K35" s="58" t="s">
        <v>57</v>
      </c>
      <c r="L35" s="60" t="s">
        <v>68</v>
      </c>
      <c r="M35" s="58">
        <f>2/3*(I22-H22)*(0.5*C23*C23*C23+D23*D23*D23+E23*E23*E23+F23*F23*F23+G23*G23*G23+H23*H23*H23+I23*I23*I23+J23*J23*J23+K23*K23*K23+L23*L23*L23+0.5*M23*M23*M23)+0.25*(C22-B22)*(B23+C23)*(B23+C23)*(B23+C23)+0.25*(O22-M22)*(M23+O23)*(M23+O23)*(M23+O23)</f>
        <v>8.426119196133333</v>
      </c>
      <c r="N35" s="58" t="s">
        <v>69</v>
      </c>
      <c r="O35" s="58"/>
    </row>
    <row r="36" spans="1:15" ht="14.25">
      <c r="A36" s="58" t="s">
        <v>58</v>
      </c>
      <c r="B36" s="58"/>
      <c r="C36" s="60" t="s">
        <v>70</v>
      </c>
      <c r="D36" s="58">
        <f>M34/((M22-C22)*2*H23)</f>
        <v>0.8219285714285716</v>
      </c>
      <c r="E36" s="58"/>
      <c r="F36" s="58"/>
      <c r="G36" s="58"/>
      <c r="H36" s="58"/>
      <c r="I36" s="58"/>
      <c r="J36" s="58"/>
      <c r="K36" s="58"/>
      <c r="L36" s="60" t="s">
        <v>71</v>
      </c>
      <c r="M36" s="58">
        <f>2*(I22-H22)*(I22-H22)*(I22-H22)*(12.5*C23+16*D23+9*E23+4*F23+G23+I23+4*J23+9*K23+16*L23+12.5*M23)+0.25*(H22-B22)*(H22-B22)*(B23+C23)*(B22-C22)+0.25*(O22-H22)*(O22-H22)*(M23+O23)*(O22-M22)</f>
        <v>52.92215599999998</v>
      </c>
      <c r="N36" s="58" t="s">
        <v>69</v>
      </c>
      <c r="O36" s="58"/>
    </row>
    <row r="37" spans="1:15" ht="12.75">
      <c r="A37" s="61" t="s">
        <v>73</v>
      </c>
      <c r="O37" s="58"/>
    </row>
    <row r="38" spans="1:15" ht="12.75">
      <c r="A38" s="106" t="s">
        <v>306</v>
      </c>
      <c r="B38" s="48" t="s">
        <v>30</v>
      </c>
      <c r="C38" s="48">
        <v>0</v>
      </c>
      <c r="D38" s="48">
        <v>1</v>
      </c>
      <c r="E38" s="48">
        <v>2</v>
      </c>
      <c r="F38" s="48">
        <v>3</v>
      </c>
      <c r="G38" s="48">
        <v>4</v>
      </c>
      <c r="H38" s="48">
        <v>5</v>
      </c>
      <c r="I38" s="48">
        <v>6</v>
      </c>
      <c r="J38" s="48">
        <v>7</v>
      </c>
      <c r="K38" s="48">
        <v>8</v>
      </c>
      <c r="L38" s="48">
        <v>9</v>
      </c>
      <c r="M38" s="48">
        <v>10</v>
      </c>
      <c r="N38" s="48" t="s">
        <v>31</v>
      </c>
      <c r="O38" s="48" t="s">
        <v>32</v>
      </c>
    </row>
    <row r="39" spans="1:15" ht="12.75">
      <c r="A39" s="59" t="s">
        <v>7</v>
      </c>
      <c r="B39" s="141">
        <v>0.996</v>
      </c>
      <c r="C39" s="141">
        <v>0.996</v>
      </c>
      <c r="D39" s="141">
        <v>0.995</v>
      </c>
      <c r="E39" s="141">
        <v>0.995</v>
      </c>
      <c r="F39" s="141">
        <v>0.995</v>
      </c>
      <c r="G39" s="141">
        <v>0.994</v>
      </c>
      <c r="H39" s="141">
        <v>0.994</v>
      </c>
      <c r="I39" s="141">
        <v>0.993</v>
      </c>
      <c r="J39" s="141">
        <v>0.992</v>
      </c>
      <c r="K39" s="141">
        <v>0.992</v>
      </c>
      <c r="L39" s="141">
        <v>0.991</v>
      </c>
      <c r="M39" s="141">
        <v>0.99</v>
      </c>
      <c r="N39" s="141">
        <v>0.99</v>
      </c>
      <c r="O39" s="141">
        <v>0.99</v>
      </c>
    </row>
    <row r="40" spans="1:15" ht="12.75">
      <c r="A40" s="48" t="s">
        <v>5</v>
      </c>
      <c r="B40" s="143">
        <v>-3.5</v>
      </c>
      <c r="C40" s="143">
        <v>-3.5</v>
      </c>
      <c r="D40" s="143">
        <v>-2.8</v>
      </c>
      <c r="E40" s="143">
        <v>-2.1</v>
      </c>
      <c r="F40" s="143">
        <v>-1.4</v>
      </c>
      <c r="G40" s="143">
        <v>-0.7</v>
      </c>
      <c r="H40" s="143">
        <v>0</v>
      </c>
      <c r="I40" s="143">
        <v>0.7</v>
      </c>
      <c r="J40" s="143">
        <v>1.4</v>
      </c>
      <c r="K40" s="143">
        <v>2.1</v>
      </c>
      <c r="L40" s="143">
        <v>2.8</v>
      </c>
      <c r="M40" s="143">
        <v>3.5</v>
      </c>
      <c r="N40" s="143">
        <v>3.442</v>
      </c>
      <c r="O40" s="143">
        <v>3.5</v>
      </c>
    </row>
    <row r="41" spans="1:15" ht="12.75">
      <c r="A41" s="48" t="s">
        <v>6</v>
      </c>
      <c r="B41" s="143">
        <v>0.991</v>
      </c>
      <c r="C41" s="143">
        <v>0.991</v>
      </c>
      <c r="D41" s="143">
        <v>1.127</v>
      </c>
      <c r="E41" s="143">
        <v>1.244</v>
      </c>
      <c r="F41" s="143">
        <v>1.326</v>
      </c>
      <c r="G41" s="143">
        <v>1.379</v>
      </c>
      <c r="H41" s="143">
        <v>1.398</v>
      </c>
      <c r="I41" s="143">
        <v>1.377</v>
      </c>
      <c r="J41" s="143">
        <v>1.292</v>
      </c>
      <c r="K41" s="143">
        <v>1.113</v>
      </c>
      <c r="L41" s="143">
        <v>0.76</v>
      </c>
      <c r="M41" s="143">
        <v>0.03</v>
      </c>
      <c r="N41" s="143">
        <v>0.03</v>
      </c>
      <c r="O41" s="143">
        <v>0.03</v>
      </c>
    </row>
    <row r="42" spans="1:15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13.5">
      <c r="A52" s="58" t="s">
        <v>53</v>
      </c>
      <c r="B52" s="58"/>
      <c r="C52" s="34" t="s">
        <v>60</v>
      </c>
      <c r="D52" s="58">
        <f>2*(0.5*C41+D41+E41+F41+G41+H41+I41+J41+K41+L41+0.5*M41)*(I40-H40)</f>
        <v>16.1371</v>
      </c>
      <c r="E52" s="58" t="s">
        <v>61</v>
      </c>
      <c r="F52" s="34" t="s">
        <v>62</v>
      </c>
      <c r="G52" s="58">
        <f>(C40-B40)*(B41+C41)</f>
        <v>0</v>
      </c>
      <c r="H52" s="58" t="s">
        <v>61</v>
      </c>
      <c r="I52" s="34" t="s">
        <v>63</v>
      </c>
      <c r="J52" s="58">
        <f>(O40-M40)*(O41+M41)</f>
        <v>0</v>
      </c>
      <c r="K52" s="58" t="s">
        <v>61</v>
      </c>
      <c r="L52" s="34" t="s">
        <v>64</v>
      </c>
      <c r="M52" s="58">
        <f>D52+G52+J52</f>
        <v>16.1371</v>
      </c>
      <c r="N52" s="58" t="s">
        <v>61</v>
      </c>
      <c r="O52" s="58"/>
    </row>
    <row r="53" spans="1:15" ht="14.25">
      <c r="A53" s="58" t="s">
        <v>55</v>
      </c>
      <c r="B53" s="58"/>
      <c r="C53" s="34" t="s">
        <v>65</v>
      </c>
      <c r="D53" s="58">
        <f>2*(I40-H40)*(I40-H40)*((-2.5)*C41+(-4)*D41+(-3)*E41+(-2)*F41-G41+I41+2*J41+3*K41+4*L41+2.5*M41)+0.5*(H40-B40)*(C40-B40)*(C41+B41)+0.5*(O40-H40)*(O40-M40)*(M41+O41)</f>
        <v>-4.24683</v>
      </c>
      <c r="E53" s="58" t="s">
        <v>66</v>
      </c>
      <c r="F53" s="58" t="s">
        <v>54</v>
      </c>
      <c r="G53" s="58"/>
      <c r="H53" s="34" t="s">
        <v>67</v>
      </c>
      <c r="I53" s="58">
        <f>D53/M52</f>
        <v>-0.26317182145490825</v>
      </c>
      <c r="J53" s="58" t="s">
        <v>56</v>
      </c>
      <c r="K53" s="58" t="s">
        <v>57</v>
      </c>
      <c r="L53" s="60" t="s">
        <v>68</v>
      </c>
      <c r="M53" s="58">
        <f>2/3*(I40-H40)*(0.5*C41*C41*C41+D41*D41*D41+E41*E41*E41+F41*F41*F41+G41*G41*G41+H41*H41*H41+I41*I41*I41+J41*J41*J41+K41*K41*K41+L41*L41*L41+0.5*M41*M41*M41)+0.25*(C40-B40)*(B41+C41)*(B41+C41)*(B41+C41)+0.25*(O40-M40)*(M41+O41)*(M41+O41)*(M41+O41)</f>
        <v>8.453518792833332</v>
      </c>
      <c r="N53" s="58" t="s">
        <v>69</v>
      </c>
      <c r="O53" s="58"/>
    </row>
    <row r="54" spans="1:15" ht="14.25">
      <c r="A54" s="58" t="s">
        <v>58</v>
      </c>
      <c r="B54" s="58"/>
      <c r="C54" s="60" t="s">
        <v>70</v>
      </c>
      <c r="D54" s="58">
        <f>M52/((M40-C40)*2*H41)</f>
        <v>0.8244992846924177</v>
      </c>
      <c r="E54" s="58"/>
      <c r="F54" s="58"/>
      <c r="G54" s="58"/>
      <c r="H54" s="58"/>
      <c r="I54" s="58"/>
      <c r="J54" s="58"/>
      <c r="K54" s="58"/>
      <c r="L54" s="60" t="s">
        <v>71</v>
      </c>
      <c r="M54" s="58">
        <f>2*(I40-H40)*(I40-H40)*(I40-H40)*(12.5*C41+16*D41+9*E41+4*F41+G41+I41+4*J41+9*K41+16*L41+12.5*M41)+0.25*(H40-B40)*(H40-B40)*(B41+C41)*(B40-C40)+0.25*(O40-H40)*(O40-H40)*(M41+O41)*(O40-M40)</f>
        <v>53.09331299999999</v>
      </c>
      <c r="N54" s="58" t="s">
        <v>69</v>
      </c>
      <c r="O54" s="58"/>
    </row>
    <row r="55" spans="1:15" ht="12.75">
      <c r="A55" s="61" t="s">
        <v>74</v>
      </c>
      <c r="O55" s="58"/>
    </row>
    <row r="56" spans="1:15" ht="12.75">
      <c r="A56" s="8" t="s">
        <v>59</v>
      </c>
      <c r="B56" s="48" t="s">
        <v>30</v>
      </c>
      <c r="C56" s="48">
        <v>0</v>
      </c>
      <c r="D56" s="48">
        <v>1</v>
      </c>
      <c r="E56" s="48">
        <v>2</v>
      </c>
      <c r="F56" s="48">
        <v>3</v>
      </c>
      <c r="G56" s="48">
        <v>4</v>
      </c>
      <c r="H56" s="48">
        <v>5</v>
      </c>
      <c r="I56" s="48">
        <v>6</v>
      </c>
      <c r="J56" s="48">
        <v>7</v>
      </c>
      <c r="K56" s="48">
        <v>8</v>
      </c>
      <c r="L56" s="48">
        <v>9</v>
      </c>
      <c r="M56" s="48">
        <v>10</v>
      </c>
      <c r="N56" s="48" t="s">
        <v>31</v>
      </c>
      <c r="O56" s="48" t="s">
        <v>32</v>
      </c>
    </row>
    <row r="57" spans="1:15" ht="12.75">
      <c r="A57" s="59" t="s">
        <v>7</v>
      </c>
      <c r="B57" s="141">
        <v>1.02</v>
      </c>
      <c r="C57" s="141">
        <v>1.02</v>
      </c>
      <c r="D57" s="141">
        <v>1.02</v>
      </c>
      <c r="E57" s="141">
        <v>1.02</v>
      </c>
      <c r="F57" s="141">
        <v>1.02</v>
      </c>
      <c r="G57" s="141">
        <v>1.02</v>
      </c>
      <c r="H57" s="141">
        <v>1.02</v>
      </c>
      <c r="I57" s="141">
        <v>1.02</v>
      </c>
      <c r="J57" s="141">
        <v>1.02</v>
      </c>
      <c r="K57" s="141">
        <v>1.02</v>
      </c>
      <c r="L57" s="141">
        <v>1.02</v>
      </c>
      <c r="M57" s="141">
        <v>1.02</v>
      </c>
      <c r="N57" s="141">
        <v>1.02</v>
      </c>
      <c r="O57" s="141">
        <v>1.02</v>
      </c>
    </row>
    <row r="58" spans="1:15" ht="12.75">
      <c r="A58" s="48" t="s">
        <v>5</v>
      </c>
      <c r="B58" s="143">
        <v>-3.5</v>
      </c>
      <c r="C58" s="143">
        <v>-3.5</v>
      </c>
      <c r="D58" s="143">
        <v>-2.8</v>
      </c>
      <c r="E58" s="143">
        <v>-2.1</v>
      </c>
      <c r="F58" s="143">
        <v>-1.4</v>
      </c>
      <c r="G58" s="143">
        <v>-0.7</v>
      </c>
      <c r="H58" s="143">
        <v>0</v>
      </c>
      <c r="I58" s="143">
        <v>0.7</v>
      </c>
      <c r="J58" s="143">
        <v>1.4</v>
      </c>
      <c r="K58" s="143">
        <v>2.1</v>
      </c>
      <c r="L58" s="143">
        <v>2.8</v>
      </c>
      <c r="M58" s="143">
        <v>3.5</v>
      </c>
      <c r="N58" s="143">
        <v>3.442</v>
      </c>
      <c r="O58" s="143">
        <v>3.5</v>
      </c>
    </row>
    <row r="59" spans="1:15" ht="12.75">
      <c r="A59" s="48" t="s">
        <v>6</v>
      </c>
      <c r="B59" s="143">
        <v>0.991</v>
      </c>
      <c r="C59" s="143">
        <v>0.991</v>
      </c>
      <c r="D59" s="143">
        <v>1.127</v>
      </c>
      <c r="E59" s="143">
        <v>1.244</v>
      </c>
      <c r="F59" s="143">
        <v>1.326</v>
      </c>
      <c r="G59" s="143">
        <v>1.379</v>
      </c>
      <c r="H59" s="143">
        <v>1.398</v>
      </c>
      <c r="I59" s="143">
        <v>1.377</v>
      </c>
      <c r="J59" s="143">
        <v>1.292</v>
      </c>
      <c r="K59" s="143">
        <v>1.113</v>
      </c>
      <c r="L59" s="143">
        <v>0.76</v>
      </c>
      <c r="M59" s="143">
        <v>0.03</v>
      </c>
      <c r="N59" s="143">
        <v>0.03</v>
      </c>
      <c r="O59" s="143">
        <v>0.03</v>
      </c>
    </row>
    <row r="60" spans="1:15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15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1:15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15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1:15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1:15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</row>
    <row r="70" spans="1:15" ht="13.5">
      <c r="A70" s="58" t="s">
        <v>53</v>
      </c>
      <c r="B70" s="58"/>
      <c r="C70" s="34" t="s">
        <v>60</v>
      </c>
      <c r="D70" s="58">
        <f>2*(0.5*C59+D59+E59+F59+G59+H59+I59+J59+K59+L59+0.5*M59)*(I58-H58)</f>
        <v>16.1371</v>
      </c>
      <c r="E70" s="58" t="s">
        <v>61</v>
      </c>
      <c r="F70" s="34" t="s">
        <v>62</v>
      </c>
      <c r="G70" s="58">
        <f>(C58-B58)*(B59+C59)</f>
        <v>0</v>
      </c>
      <c r="H70" s="58" t="s">
        <v>61</v>
      </c>
      <c r="I70" s="34" t="s">
        <v>63</v>
      </c>
      <c r="J70" s="58">
        <f>(O58-M58)*(O59+M59)</f>
        <v>0</v>
      </c>
      <c r="K70" s="58" t="s">
        <v>61</v>
      </c>
      <c r="L70" s="34" t="s">
        <v>64</v>
      </c>
      <c r="M70" s="58">
        <f>D70+G70+J70</f>
        <v>16.1371</v>
      </c>
      <c r="N70" s="58" t="s">
        <v>61</v>
      </c>
      <c r="O70" s="58"/>
    </row>
    <row r="71" spans="1:15" ht="14.25">
      <c r="A71" s="58" t="s">
        <v>55</v>
      </c>
      <c r="B71" s="58"/>
      <c r="C71" s="34" t="s">
        <v>65</v>
      </c>
      <c r="D71" s="58">
        <f>2*(I58-H58)*(I58-H58)*((-2.5)*C59+(-4)*D59+(-3)*E59+(-2)*F59-G59+I59+2*J59+3*K59+4*L59+2.5*M59)+0.5*(H58-B58)*(C58-B58)*(C59+B59)+0.5*(O58-H58)*(O58-M58)*(M59+O59)</f>
        <v>-4.24683</v>
      </c>
      <c r="E71" s="58" t="s">
        <v>66</v>
      </c>
      <c r="F71" s="58" t="s">
        <v>54</v>
      </c>
      <c r="G71" s="58"/>
      <c r="H71" s="34" t="s">
        <v>67</v>
      </c>
      <c r="I71" s="58">
        <f>D71/M70</f>
        <v>-0.26317182145490825</v>
      </c>
      <c r="J71" s="58" t="s">
        <v>56</v>
      </c>
      <c r="K71" s="58" t="s">
        <v>57</v>
      </c>
      <c r="L71" s="60" t="s">
        <v>68</v>
      </c>
      <c r="M71" s="58">
        <f>2/3*(I58-H58)*(0.5*C59*C59*C59+D59*D59*D59+E59*E59*E59+F59*F59*F59+G59*G59*G59+H59*H59*H59+I59*I59*I59+J59*J59*J59+K59*K59*K59+L59*L59*L59+0.5*M59*M59*M59)+0.25*(C58-B58)*(B59+C59)*(B59+C59)*(B59+C59)+0.25*(O58-M58)*(M59+O59)*(M59+O59)*(M59+O59)</f>
        <v>8.453518792833332</v>
      </c>
      <c r="N71" s="58" t="s">
        <v>69</v>
      </c>
      <c r="O71" s="58"/>
    </row>
    <row r="72" spans="1:15" ht="14.25">
      <c r="A72" s="58" t="s">
        <v>58</v>
      </c>
      <c r="B72" s="58"/>
      <c r="C72" s="60" t="s">
        <v>70</v>
      </c>
      <c r="D72" s="58">
        <f>M70/((M58-C58)*2*H59)</f>
        <v>0.8244992846924177</v>
      </c>
      <c r="E72" s="58"/>
      <c r="F72" s="58"/>
      <c r="G72" s="58"/>
      <c r="H72" s="58"/>
      <c r="I72" s="58"/>
      <c r="J72" s="58"/>
      <c r="K72" s="58"/>
      <c r="L72" s="60" t="s">
        <v>71</v>
      </c>
      <c r="M72" s="58">
        <f>2*(I58-H58)*(I58-H58)*(I58-H58)*(12.5*C59+16*D59+9*E59+4*F59+G59+I59+4*J59+9*K59+16*L59+12.5*M59)+0.25*(H58-B58)*(H58-B58)*(B59+C59)*(B58-C58)+0.25*(O58-H58)*(O58-H58)*(M59+O59)*(O58-M58)</f>
        <v>53.09331299999999</v>
      </c>
      <c r="N72" s="58" t="s">
        <v>69</v>
      </c>
      <c r="O72" s="58"/>
    </row>
    <row r="73" spans="1:15" ht="12.75">
      <c r="A73" s="61" t="s">
        <v>75</v>
      </c>
      <c r="O73" s="58"/>
    </row>
    <row r="74" spans="1:15" ht="12.75">
      <c r="A74" s="8" t="s">
        <v>59</v>
      </c>
      <c r="B74" s="48" t="s">
        <v>30</v>
      </c>
      <c r="C74" s="48">
        <v>0</v>
      </c>
      <c r="D74" s="48">
        <v>1</v>
      </c>
      <c r="E74" s="48">
        <v>2</v>
      </c>
      <c r="F74" s="48">
        <v>3</v>
      </c>
      <c r="G74" s="48">
        <v>4</v>
      </c>
      <c r="H74" s="48">
        <v>5</v>
      </c>
      <c r="I74" s="48">
        <v>6</v>
      </c>
      <c r="J74" s="48">
        <v>7</v>
      </c>
      <c r="K74" s="48">
        <v>8</v>
      </c>
      <c r="L74" s="48">
        <v>9</v>
      </c>
      <c r="M74" s="48">
        <v>10</v>
      </c>
      <c r="N74" s="48" t="s">
        <v>31</v>
      </c>
      <c r="O74" s="48" t="s">
        <v>32</v>
      </c>
    </row>
    <row r="75" spans="1:15" ht="12.75">
      <c r="A75" s="59" t="s">
        <v>7</v>
      </c>
      <c r="B75" s="141">
        <v>0.85</v>
      </c>
      <c r="C75" s="141">
        <v>0.85</v>
      </c>
      <c r="D75" s="141">
        <v>0.85</v>
      </c>
      <c r="E75" s="141">
        <v>0.85</v>
      </c>
      <c r="F75" s="141">
        <v>0.85</v>
      </c>
      <c r="G75" s="141">
        <v>0.85</v>
      </c>
      <c r="H75" s="141">
        <v>0.85</v>
      </c>
      <c r="I75" s="141">
        <v>0.85</v>
      </c>
      <c r="J75" s="141">
        <v>0.85</v>
      </c>
      <c r="K75" s="141">
        <v>0.85</v>
      </c>
      <c r="L75" s="141">
        <v>0.85</v>
      </c>
      <c r="M75" s="141">
        <v>0.85</v>
      </c>
      <c r="N75" s="141">
        <v>0.85</v>
      </c>
      <c r="O75" s="141">
        <v>0.85</v>
      </c>
    </row>
    <row r="76" spans="1:15" ht="12.75">
      <c r="A76" s="48" t="s">
        <v>5</v>
      </c>
      <c r="B76" s="143">
        <v>-3.5</v>
      </c>
      <c r="C76" s="143">
        <v>-3.5</v>
      </c>
      <c r="D76" s="143">
        <v>-2.8</v>
      </c>
      <c r="E76" s="143">
        <v>-2.1</v>
      </c>
      <c r="F76" s="143">
        <v>-1.4</v>
      </c>
      <c r="G76" s="143">
        <v>-0.7</v>
      </c>
      <c r="H76" s="143">
        <v>0</v>
      </c>
      <c r="I76" s="143">
        <v>0.7</v>
      </c>
      <c r="J76" s="143">
        <v>1.4</v>
      </c>
      <c r="K76" s="143">
        <v>2.1</v>
      </c>
      <c r="L76" s="143">
        <v>2.8</v>
      </c>
      <c r="M76" s="143">
        <v>3.5</v>
      </c>
      <c r="N76" s="143">
        <v>3.442</v>
      </c>
      <c r="O76" s="143">
        <v>3.5</v>
      </c>
    </row>
    <row r="77" spans="1:15" ht="12.75">
      <c r="A77" s="48" t="s">
        <v>6</v>
      </c>
      <c r="B77" s="143">
        <v>0.991</v>
      </c>
      <c r="C77" s="143">
        <v>0.991</v>
      </c>
      <c r="D77" s="143">
        <v>1.127</v>
      </c>
      <c r="E77" s="143">
        <v>1.244</v>
      </c>
      <c r="F77" s="143">
        <v>1.326</v>
      </c>
      <c r="G77" s="143">
        <v>1.379</v>
      </c>
      <c r="H77" s="143">
        <v>1.398</v>
      </c>
      <c r="I77" s="143">
        <v>1.377</v>
      </c>
      <c r="J77" s="143">
        <v>1.292</v>
      </c>
      <c r="K77" s="143">
        <v>1.113</v>
      </c>
      <c r="L77" s="143">
        <v>0.76</v>
      </c>
      <c r="M77" s="143">
        <v>0.03</v>
      </c>
      <c r="N77" s="143">
        <v>0.03</v>
      </c>
      <c r="O77" s="143">
        <v>0.03</v>
      </c>
    </row>
    <row r="78" spans="1:15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1:15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1:15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1:15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1:15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</row>
    <row r="84" spans="1:15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  <row r="85" spans="1:15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</row>
    <row r="86" spans="1:15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</row>
    <row r="87" spans="1:15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</row>
    <row r="88" spans="1:15" ht="13.5">
      <c r="A88" s="58" t="s">
        <v>53</v>
      </c>
      <c r="B88" s="58"/>
      <c r="C88" s="34" t="s">
        <v>60</v>
      </c>
      <c r="D88" s="58">
        <f>2*(0.5*C77+D77+E77+F77+G77+H77+I77+J77+K77+L77+0.5*M77)*(I76-H76)</f>
        <v>16.1371</v>
      </c>
      <c r="E88" s="58" t="s">
        <v>61</v>
      </c>
      <c r="F88" s="34" t="s">
        <v>62</v>
      </c>
      <c r="G88" s="58">
        <f>(C76-B76)*(B77+C77)</f>
        <v>0</v>
      </c>
      <c r="H88" s="58" t="s">
        <v>61</v>
      </c>
      <c r="I88" s="34" t="s">
        <v>63</v>
      </c>
      <c r="J88" s="58">
        <f>(O76-M76)*(O77+M77)</f>
        <v>0</v>
      </c>
      <c r="K88" s="58" t="s">
        <v>61</v>
      </c>
      <c r="L88" s="34" t="s">
        <v>64</v>
      </c>
      <c r="M88" s="58">
        <f>D88+G88+J88</f>
        <v>16.1371</v>
      </c>
      <c r="N88" s="58" t="s">
        <v>61</v>
      </c>
      <c r="O88" s="58"/>
    </row>
    <row r="89" spans="1:15" ht="14.25">
      <c r="A89" s="58" t="s">
        <v>55</v>
      </c>
      <c r="B89" s="58"/>
      <c r="C89" s="34" t="s">
        <v>65</v>
      </c>
      <c r="D89" s="58">
        <f>2*(I76-H76)*(I76-H76)*((-2.5)*C77+(-4)*D77+(-3)*E77+(-2)*F77-G77+I77+2*J77+3*K77+4*L77+2.5*M77)+0.5*(H76-B76)*(C76-B76)*(C77+B77)+0.5*(O76-H76)*(O76-M76)*(M77+O77)</f>
        <v>-4.24683</v>
      </c>
      <c r="E89" s="58" t="s">
        <v>66</v>
      </c>
      <c r="F89" s="58" t="s">
        <v>54</v>
      </c>
      <c r="G89" s="58"/>
      <c r="H89" s="34" t="s">
        <v>67</v>
      </c>
      <c r="I89" s="58">
        <f>D89/M88</f>
        <v>-0.26317182145490825</v>
      </c>
      <c r="J89" s="58" t="s">
        <v>56</v>
      </c>
      <c r="K89" s="58" t="s">
        <v>57</v>
      </c>
      <c r="L89" s="60" t="s">
        <v>68</v>
      </c>
      <c r="M89" s="58">
        <f>2/3*(I76-H76)*(0.5*C77*C77*C77+D77*D77*D77+E77*E77*E77+F77*F77*F77+G77*G77*G77+H77*H77*H77+I77*I77*I77+J77*J77*J77+K77*K77*K77+L77*L77*L77+0.5*M77*M77*M77)+0.25*(C76-B76)*(B77+C77)*(B77+C77)*(B77+C77)+0.25*(O76-M76)*(M77+O77)*(M77+O77)*(M77+O77)</f>
        <v>8.453518792833332</v>
      </c>
      <c r="N89" s="58" t="s">
        <v>69</v>
      </c>
      <c r="O89" s="58"/>
    </row>
    <row r="90" spans="1:15" ht="14.25">
      <c r="A90" s="58" t="s">
        <v>58</v>
      </c>
      <c r="B90" s="58"/>
      <c r="C90" s="60" t="s">
        <v>70</v>
      </c>
      <c r="D90" s="58">
        <f>M88/((M76-C76)*2*H77)</f>
        <v>0.8244992846924177</v>
      </c>
      <c r="E90" s="58"/>
      <c r="F90" s="58"/>
      <c r="G90" s="58"/>
      <c r="H90" s="58"/>
      <c r="I90" s="58"/>
      <c r="J90" s="58"/>
      <c r="K90" s="58"/>
      <c r="L90" s="60" t="s">
        <v>71</v>
      </c>
      <c r="M90" s="58">
        <f>2*(I76-H76)*(I76-H76)*(I76-H76)*(12.5*C77+16*D77+9*E77+4*F77+G77+I77+4*J77+9*K77+16*L77+12.5*M77)+0.25*(H76-B76)*(H76-B76)*(B77+C77)*(B76-C76)+0.25*(O76-H76)*(O76-H76)*(M77+O77)*(O76-M76)</f>
        <v>53.09331299999999</v>
      </c>
      <c r="N90" s="58" t="s">
        <v>69</v>
      </c>
      <c r="O90" s="58"/>
    </row>
    <row r="91" spans="1:15" ht="12.75">
      <c r="A91" s="61" t="s">
        <v>76</v>
      </c>
      <c r="O91" s="58"/>
    </row>
    <row r="92" spans="1:15" ht="12.75">
      <c r="A92" s="8" t="s">
        <v>59</v>
      </c>
      <c r="B92" s="48" t="s">
        <v>30</v>
      </c>
      <c r="C92" s="48">
        <v>0</v>
      </c>
      <c r="D92" s="48">
        <v>1</v>
      </c>
      <c r="E92" s="48">
        <v>2</v>
      </c>
      <c r="F92" s="48">
        <v>3</v>
      </c>
      <c r="G92" s="48">
        <v>4</v>
      </c>
      <c r="H92" s="48">
        <v>5</v>
      </c>
      <c r="I92" s="48">
        <v>6</v>
      </c>
      <c r="J92" s="48">
        <v>7</v>
      </c>
      <c r="K92" s="48">
        <v>8</v>
      </c>
      <c r="L92" s="48">
        <v>9</v>
      </c>
      <c r="M92" s="48">
        <v>10</v>
      </c>
      <c r="N92" s="48" t="s">
        <v>31</v>
      </c>
      <c r="O92" s="48" t="s">
        <v>32</v>
      </c>
    </row>
    <row r="93" spans="1:15" ht="12.75">
      <c r="A93" s="59" t="s">
        <v>7</v>
      </c>
      <c r="B93" s="141">
        <v>0.7</v>
      </c>
      <c r="C93" s="141">
        <v>0.75</v>
      </c>
      <c r="D93" s="141">
        <v>0.8</v>
      </c>
      <c r="E93" s="141">
        <v>0.85</v>
      </c>
      <c r="F93" s="141">
        <v>0.9</v>
      </c>
      <c r="G93" s="141">
        <v>0.95</v>
      </c>
      <c r="H93" s="141">
        <v>1</v>
      </c>
      <c r="I93" s="141">
        <v>1.05</v>
      </c>
      <c r="J93" s="141">
        <v>1.1</v>
      </c>
      <c r="K93" s="141">
        <v>1.15</v>
      </c>
      <c r="L93" s="141">
        <v>1.2</v>
      </c>
      <c r="M93" s="141">
        <v>1.25</v>
      </c>
      <c r="N93" s="141">
        <v>1.3</v>
      </c>
      <c r="O93" s="141">
        <v>1.35</v>
      </c>
    </row>
    <row r="94" spans="1:15" ht="12.75">
      <c r="A94" s="48" t="s">
        <v>5</v>
      </c>
      <c r="B94" s="143">
        <v>-3.5</v>
      </c>
      <c r="C94" s="143">
        <v>-3.5</v>
      </c>
      <c r="D94" s="143">
        <v>-2.8</v>
      </c>
      <c r="E94" s="143">
        <v>-2.1</v>
      </c>
      <c r="F94" s="143">
        <v>-1.4</v>
      </c>
      <c r="G94" s="143">
        <v>-0.7</v>
      </c>
      <c r="H94" s="143">
        <v>0</v>
      </c>
      <c r="I94" s="143">
        <v>0.7</v>
      </c>
      <c r="J94" s="143">
        <v>1.4</v>
      </c>
      <c r="K94" s="143">
        <v>2.1</v>
      </c>
      <c r="L94" s="143">
        <v>2.8</v>
      </c>
      <c r="M94" s="143">
        <v>3.5</v>
      </c>
      <c r="N94" s="143">
        <v>3.442</v>
      </c>
      <c r="O94" s="143">
        <v>3.5</v>
      </c>
    </row>
    <row r="95" spans="1:15" ht="12.75">
      <c r="A95" s="48" t="s">
        <v>6</v>
      </c>
      <c r="B95" s="143">
        <v>0.991</v>
      </c>
      <c r="C95" s="143">
        <v>0.991</v>
      </c>
      <c r="D95" s="143">
        <v>1.127</v>
      </c>
      <c r="E95" s="143">
        <v>1.244</v>
      </c>
      <c r="F95" s="143">
        <v>1.326</v>
      </c>
      <c r="G95" s="143">
        <v>1.379</v>
      </c>
      <c r="H95" s="143">
        <v>1.398</v>
      </c>
      <c r="I95" s="143">
        <v>1.377</v>
      </c>
      <c r="J95" s="143">
        <v>1.292</v>
      </c>
      <c r="K95" s="143">
        <v>1.113</v>
      </c>
      <c r="L95" s="143">
        <v>0.76</v>
      </c>
      <c r="M95" s="143">
        <v>0.03</v>
      </c>
      <c r="N95" s="143">
        <v>0.03</v>
      </c>
      <c r="O95" s="143">
        <v>0.03</v>
      </c>
    </row>
    <row r="96" spans="1:15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</row>
    <row r="97" spans="1:15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</row>
    <row r="98" spans="1:15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</row>
    <row r="99" spans="1:15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</row>
    <row r="100" spans="1:15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</row>
    <row r="101" spans="1:15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</row>
    <row r="102" spans="1:15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</row>
    <row r="103" spans="1:15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1:15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</row>
    <row r="105" spans="1:15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</row>
    <row r="106" spans="1:15" ht="13.5">
      <c r="A106" s="58" t="s">
        <v>53</v>
      </c>
      <c r="B106" s="58"/>
      <c r="C106" s="34" t="s">
        <v>60</v>
      </c>
      <c r="D106" s="58">
        <f>2*(0.5*C95+D95+E95+F95+G95+H95+I95+J95+K95+L95+0.5*M95)*(I94-H94)</f>
        <v>16.1371</v>
      </c>
      <c r="E106" s="58" t="s">
        <v>61</v>
      </c>
      <c r="F106" s="34" t="s">
        <v>62</v>
      </c>
      <c r="G106" s="58">
        <f>(C94-B94)*(B95+C95)</f>
        <v>0</v>
      </c>
      <c r="H106" s="58" t="s">
        <v>61</v>
      </c>
      <c r="I106" s="34" t="s">
        <v>63</v>
      </c>
      <c r="J106" s="58">
        <f>(O94-M94)*(O95+M95)</f>
        <v>0</v>
      </c>
      <c r="K106" s="58" t="s">
        <v>61</v>
      </c>
      <c r="L106" s="34" t="s">
        <v>64</v>
      </c>
      <c r="M106" s="58">
        <f>D106+G106+J106</f>
        <v>16.1371</v>
      </c>
      <c r="N106" s="58" t="s">
        <v>61</v>
      </c>
      <c r="O106" s="58"/>
    </row>
    <row r="107" spans="1:15" ht="14.25">
      <c r="A107" s="58" t="s">
        <v>55</v>
      </c>
      <c r="B107" s="58"/>
      <c r="C107" s="34" t="s">
        <v>65</v>
      </c>
      <c r="D107" s="58">
        <f>2*(I94-H94)*(I94-H94)*((-2.5)*C95+(-4)*D95+(-3)*E95+(-2)*F95-G95+I95+2*J95+3*K95+4*L95+2.5*M95)+0.5*(H94-B94)*(C94-B94)*(C95+B95)+0.5*(O94-H94)*(O94-M94)*(M95+O95)</f>
        <v>-4.24683</v>
      </c>
      <c r="E107" s="58" t="s">
        <v>66</v>
      </c>
      <c r="F107" s="58" t="s">
        <v>54</v>
      </c>
      <c r="G107" s="58"/>
      <c r="H107" s="34" t="s">
        <v>67</v>
      </c>
      <c r="I107" s="58">
        <f>D107/M106</f>
        <v>-0.26317182145490825</v>
      </c>
      <c r="J107" s="58" t="s">
        <v>56</v>
      </c>
      <c r="K107" s="58" t="s">
        <v>57</v>
      </c>
      <c r="L107" s="60" t="s">
        <v>68</v>
      </c>
      <c r="M107" s="58">
        <f>2/3*(I94-H94)*(0.5*C95*C95*C95+D95*D95*D95+E95*E95*E95+F95*F95*F95+G95*G95*G95+H95*H95*H95+I95*I95*I95+J95*J95*J95+K95*K95*K95+L95*L95*L95+0.5*M95*M95*M95)+0.25*(C94-B94)*(B95+C95)*(B95+C95)*(B95+C95)+0.25*(O94-M94)*(M95+O95)*(M95+O95)*(M95+O95)</f>
        <v>8.453518792833332</v>
      </c>
      <c r="N107" s="58" t="s">
        <v>69</v>
      </c>
      <c r="O107" s="58"/>
    </row>
    <row r="108" spans="1:15" ht="14.25">
      <c r="A108" s="58" t="s">
        <v>58</v>
      </c>
      <c r="B108" s="58"/>
      <c r="C108" s="60" t="s">
        <v>70</v>
      </c>
      <c r="D108" s="58">
        <f>M106/((M94-C94)*2*H95)</f>
        <v>0.8244992846924177</v>
      </c>
      <c r="E108" s="58"/>
      <c r="F108" s="58"/>
      <c r="G108" s="58"/>
      <c r="H108" s="58"/>
      <c r="I108" s="58"/>
      <c r="J108" s="58"/>
      <c r="K108" s="58"/>
      <c r="L108" s="60" t="s">
        <v>71</v>
      </c>
      <c r="M108" s="58">
        <f>2*(I94-H94)*(I94-H94)*(I94-H94)*(12.5*C95+16*D95+9*E95+4*F95+G95+I95+4*J95+9*K95+16*L95+12.5*M95)+0.25*(H94-B94)*(H94-B94)*(B95+C95)*(B94-C94)+0.25*(O94-H94)*(O94-H94)*(M95+O95)*(O94-M94)</f>
        <v>53.09331299999999</v>
      </c>
      <c r="N108" s="58" t="s">
        <v>69</v>
      </c>
      <c r="O108" s="58"/>
    </row>
    <row r="110" ht="12.75">
      <c r="A110" s="127" t="s">
        <v>303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9.140625" defaultRowHeight="12.75"/>
  <cols>
    <col min="2" max="3" width="9.28125" style="0" bestFit="1" customWidth="1"/>
    <col min="4" max="4" width="9.28125" style="0" customWidth="1"/>
    <col min="5" max="5" width="9.28125" style="69" customWidth="1"/>
    <col min="6" max="9" width="9.28125" style="0" customWidth="1"/>
    <col min="10" max="13" width="9.28125" style="0" bestFit="1" customWidth="1"/>
    <col min="14" max="14" width="9.28125" style="0" customWidth="1"/>
  </cols>
  <sheetData>
    <row r="1" spans="1:14" ht="12.75">
      <c r="A1" s="104" t="s">
        <v>264</v>
      </c>
      <c r="B1" s="13"/>
      <c r="C1" s="13"/>
      <c r="D1" s="13"/>
      <c r="E1" s="75"/>
      <c r="F1" s="13"/>
      <c r="G1" s="13"/>
      <c r="H1" s="13"/>
      <c r="I1" s="13"/>
      <c r="J1" s="13"/>
      <c r="K1" s="13"/>
      <c r="L1" s="13"/>
      <c r="M1" s="13"/>
      <c r="N1" s="13"/>
    </row>
    <row r="2" spans="1:14" s="63" customFormat="1" ht="12.75">
      <c r="A2" s="105" t="s">
        <v>265</v>
      </c>
      <c r="B2" s="77"/>
      <c r="C2" s="144">
        <v>1</v>
      </c>
      <c r="D2" s="54">
        <v>0</v>
      </c>
      <c r="E2" s="78">
        <v>1</v>
      </c>
      <c r="F2" s="54">
        <v>2</v>
      </c>
      <c r="G2" s="54">
        <v>3</v>
      </c>
      <c r="H2" s="54">
        <v>4</v>
      </c>
      <c r="I2" s="54">
        <v>5</v>
      </c>
      <c r="J2" s="54">
        <v>6</v>
      </c>
      <c r="K2" s="54">
        <v>7</v>
      </c>
      <c r="L2" s="54">
        <v>8</v>
      </c>
      <c r="M2" s="54">
        <v>9</v>
      </c>
      <c r="N2" s="54">
        <v>10</v>
      </c>
    </row>
    <row r="3" spans="1:14" ht="12.75">
      <c r="A3" s="79" t="s">
        <v>232</v>
      </c>
      <c r="B3" s="80"/>
      <c r="C3" s="81" t="s">
        <v>56</v>
      </c>
      <c r="D3" s="131">
        <v>-3.5</v>
      </c>
      <c r="E3" s="131">
        <v>-2.8</v>
      </c>
      <c r="F3" s="131">
        <v>-2.1</v>
      </c>
      <c r="G3" s="131">
        <v>-1.4</v>
      </c>
      <c r="H3" s="131">
        <v>-0.7</v>
      </c>
      <c r="I3" s="131">
        <v>0</v>
      </c>
      <c r="J3" s="131">
        <v>0.7</v>
      </c>
      <c r="K3" s="131">
        <v>1.4</v>
      </c>
      <c r="L3" s="131">
        <v>2.1</v>
      </c>
      <c r="M3" s="131">
        <v>2.8</v>
      </c>
      <c r="N3" s="131">
        <v>3.5</v>
      </c>
    </row>
    <row r="4" spans="1:14" ht="14.25">
      <c r="A4" s="79" t="s">
        <v>230</v>
      </c>
      <c r="B4" s="80"/>
      <c r="C4" s="81" t="s">
        <v>170</v>
      </c>
      <c r="D4" s="145">
        <v>0.0273</v>
      </c>
      <c r="E4" s="146">
        <v>0.0551</v>
      </c>
      <c r="F4" s="145">
        <v>0.0855</v>
      </c>
      <c r="G4" s="145">
        <v>0.1083</v>
      </c>
      <c r="H4" s="145">
        <v>0.123</v>
      </c>
      <c r="I4" s="145">
        <v>0.1293</v>
      </c>
      <c r="J4" s="145">
        <v>0.1263</v>
      </c>
      <c r="K4" s="145">
        <v>0.1173</v>
      </c>
      <c r="L4" s="145">
        <v>0.095</v>
      </c>
      <c r="M4" s="145">
        <v>0.0607</v>
      </c>
      <c r="N4" s="145">
        <v>0.0122</v>
      </c>
    </row>
    <row r="5" spans="1:14" ht="12.75">
      <c r="A5" s="79" t="s">
        <v>231</v>
      </c>
      <c r="B5" s="80"/>
      <c r="C5" s="81" t="s">
        <v>56</v>
      </c>
      <c r="D5" s="145">
        <v>0.176</v>
      </c>
      <c r="E5" s="146">
        <v>0.191</v>
      </c>
      <c r="F5" s="145">
        <v>0.185</v>
      </c>
      <c r="G5" s="145">
        <v>0.177</v>
      </c>
      <c r="H5" s="145">
        <v>0.172</v>
      </c>
      <c r="I5" s="145">
        <v>0.17</v>
      </c>
      <c r="J5" s="145">
        <v>0.169</v>
      </c>
      <c r="K5" s="145">
        <v>0.168</v>
      </c>
      <c r="L5" s="145">
        <v>0.168</v>
      </c>
      <c r="M5" s="145">
        <v>0.166</v>
      </c>
      <c r="N5" s="145">
        <v>0.149</v>
      </c>
    </row>
    <row r="6" spans="1:14" ht="15.75">
      <c r="A6" s="82" t="s">
        <v>229</v>
      </c>
      <c r="B6" s="83"/>
      <c r="C6" s="84"/>
      <c r="D6" s="85" t="s">
        <v>245</v>
      </c>
      <c r="E6" s="86">
        <f>(J3-I3)*(0.5*D4+E4+F4+G4+H4+I4+J4+K4+L4+M4+0.5*N4)</f>
        <v>0.6441749999999999</v>
      </c>
      <c r="F6" s="87" t="s">
        <v>174</v>
      </c>
      <c r="G6" s="88"/>
      <c r="I6" t="s">
        <v>241</v>
      </c>
      <c r="L6" t="s">
        <v>243</v>
      </c>
      <c r="M6" s="132">
        <v>0.4</v>
      </c>
      <c r="N6" t="s">
        <v>56</v>
      </c>
    </row>
    <row r="7" spans="1:14" ht="15.75">
      <c r="A7" s="89" t="s">
        <v>239</v>
      </c>
      <c r="B7" s="90"/>
      <c r="C7" s="81"/>
      <c r="D7" s="1" t="s">
        <v>246</v>
      </c>
      <c r="E7" s="147">
        <v>1.59654</v>
      </c>
      <c r="F7" s="80" t="s">
        <v>170</v>
      </c>
      <c r="G7" s="81"/>
      <c r="I7" t="s">
        <v>260</v>
      </c>
      <c r="L7" t="s">
        <v>266</v>
      </c>
      <c r="M7" s="132">
        <v>0</v>
      </c>
      <c r="N7" t="s">
        <v>56</v>
      </c>
    </row>
    <row r="8" spans="1:14" ht="15.75">
      <c r="A8" s="92" t="s">
        <v>235</v>
      </c>
      <c r="B8" s="93"/>
      <c r="C8" s="94"/>
      <c r="D8" s="95" t="s">
        <v>247</v>
      </c>
      <c r="E8" s="91">
        <f>(J3-I3)*(0.5*D4*D5+E4*E5+F4*F5+G4*G5+H4*H5+I4*I5+J4*J5+K4*K5+L4*L5+M4*M5+0.5*N4*N5)</f>
        <v>0.11133240999999999</v>
      </c>
      <c r="F8" s="80" t="s">
        <v>248</v>
      </c>
      <c r="G8" s="81"/>
      <c r="I8" t="s">
        <v>244</v>
      </c>
      <c r="L8" t="s">
        <v>249</v>
      </c>
      <c r="M8" s="23">
        <f>M6-E10</f>
        <v>0.22717055148057594</v>
      </c>
      <c r="N8" t="s">
        <v>56</v>
      </c>
    </row>
    <row r="9" spans="1:14" ht="15.75">
      <c r="A9" s="96"/>
      <c r="B9" s="97"/>
      <c r="C9" s="98"/>
      <c r="D9" s="95" t="s">
        <v>250</v>
      </c>
      <c r="E9" s="91">
        <f>(J3-I3)*(J3-I3)*(-2.5*D4-4*E4-3*F4-2*G4-H4+J4+2*K4+3*L4+4*M4+2.5*N4)</f>
        <v>0.01688049999999999</v>
      </c>
      <c r="F9" s="80" t="s">
        <v>251</v>
      </c>
      <c r="G9" s="81"/>
      <c r="I9" s="58" t="s">
        <v>242</v>
      </c>
      <c r="L9" t="s">
        <v>252</v>
      </c>
      <c r="M9" s="69">
        <f>E10+E14-M6</f>
        <v>-0.09742320021733225</v>
      </c>
      <c r="N9" t="s">
        <v>56</v>
      </c>
    </row>
    <row r="10" spans="1:14" ht="15.75">
      <c r="A10" s="92" t="s">
        <v>233</v>
      </c>
      <c r="B10" s="93"/>
      <c r="C10" s="94"/>
      <c r="D10" s="95" t="s">
        <v>253</v>
      </c>
      <c r="E10" s="91">
        <f>E8/E6</f>
        <v>0.17282944851942408</v>
      </c>
      <c r="F10" s="99" t="s">
        <v>234</v>
      </c>
      <c r="G10" s="81"/>
      <c r="I10" t="s">
        <v>261</v>
      </c>
      <c r="L10" t="s">
        <v>267</v>
      </c>
      <c r="M10" s="63">
        <f>E6*(M7-E11)</f>
        <v>-0.01688049999999999</v>
      </c>
      <c r="N10" t="s">
        <v>262</v>
      </c>
    </row>
    <row r="11" spans="1:14" ht="15.75">
      <c r="A11" s="96"/>
      <c r="B11" s="97"/>
      <c r="C11" s="98"/>
      <c r="D11" s="95" t="s">
        <v>254</v>
      </c>
      <c r="E11" s="91">
        <f>E9/E6</f>
        <v>0.02620483564248844</v>
      </c>
      <c r="F11" s="99" t="s">
        <v>240</v>
      </c>
      <c r="G11" s="81"/>
      <c r="I11" s="76" t="s">
        <v>263</v>
      </c>
      <c r="L11" t="s">
        <v>268</v>
      </c>
      <c r="N11" t="s">
        <v>56</v>
      </c>
    </row>
    <row r="12" spans="1:6" ht="15.75">
      <c r="A12" s="92" t="s">
        <v>236</v>
      </c>
      <c r="B12" s="93"/>
      <c r="C12" s="94"/>
      <c r="D12" s="95" t="s">
        <v>255</v>
      </c>
      <c r="E12" s="147">
        <v>0.08358</v>
      </c>
      <c r="F12" s="81" t="s">
        <v>256</v>
      </c>
    </row>
    <row r="13" spans="1:6" ht="15.75">
      <c r="A13" s="96"/>
      <c r="B13" s="97"/>
      <c r="C13" s="98"/>
      <c r="D13" s="95" t="s">
        <v>257</v>
      </c>
      <c r="E13" s="147">
        <v>0.50165</v>
      </c>
      <c r="F13" s="81" t="s">
        <v>256</v>
      </c>
    </row>
    <row r="14" spans="1:6" ht="15.75">
      <c r="A14" s="79" t="s">
        <v>237</v>
      </c>
      <c r="B14" s="80"/>
      <c r="C14" s="81"/>
      <c r="D14" s="95" t="s">
        <v>258</v>
      </c>
      <c r="E14" s="91">
        <f>E12/E6</f>
        <v>0.1297473512632437</v>
      </c>
      <c r="F14" s="81" t="s">
        <v>56</v>
      </c>
    </row>
    <row r="15" spans="1:6" ht="15.75">
      <c r="A15" s="100" t="s">
        <v>238</v>
      </c>
      <c r="B15" s="80"/>
      <c r="C15" s="81"/>
      <c r="D15" s="95" t="s">
        <v>259</v>
      </c>
      <c r="E15" s="91">
        <f>E13/E6</f>
        <v>0.7787480110218498</v>
      </c>
      <c r="F15" s="81" t="s">
        <v>56</v>
      </c>
    </row>
    <row r="16" spans="1:6" ht="12.75">
      <c r="A16" s="101"/>
      <c r="B16" s="97"/>
      <c r="C16" s="97"/>
      <c r="D16" s="102"/>
      <c r="E16" s="103"/>
      <c r="F16" s="97"/>
    </row>
    <row r="17" spans="1:14" ht="12.75">
      <c r="A17" s="104" t="s">
        <v>308</v>
      </c>
      <c r="B17" s="13"/>
      <c r="C17" s="13"/>
      <c r="D17" s="13"/>
      <c r="E17" s="75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05" t="s">
        <v>309</v>
      </c>
      <c r="B18" s="77"/>
      <c r="C18" s="144">
        <v>1</v>
      </c>
      <c r="D18" s="54">
        <v>0</v>
      </c>
      <c r="E18" s="78">
        <v>1</v>
      </c>
      <c r="F18" s="54">
        <v>2</v>
      </c>
      <c r="G18" s="54">
        <v>3</v>
      </c>
      <c r="H18" s="54">
        <v>4</v>
      </c>
      <c r="I18" s="54">
        <v>5</v>
      </c>
      <c r="J18" s="54">
        <v>6</v>
      </c>
      <c r="K18" s="54">
        <v>7</v>
      </c>
      <c r="L18" s="54">
        <v>8</v>
      </c>
      <c r="M18" s="54">
        <v>9</v>
      </c>
      <c r="N18" s="54">
        <v>10</v>
      </c>
    </row>
    <row r="19" spans="1:14" ht="12.75">
      <c r="A19" s="79" t="s">
        <v>232</v>
      </c>
      <c r="B19" s="80"/>
      <c r="C19" s="81" t="s">
        <v>56</v>
      </c>
      <c r="D19" s="131">
        <v>-3.5</v>
      </c>
      <c r="E19" s="131">
        <v>-2.8</v>
      </c>
      <c r="F19" s="131">
        <v>-2.1</v>
      </c>
      <c r="G19" s="131">
        <v>-1.4</v>
      </c>
      <c r="H19" s="131">
        <v>-0.7</v>
      </c>
      <c r="I19" s="131">
        <v>0</v>
      </c>
      <c r="J19" s="131">
        <v>0.7</v>
      </c>
      <c r="K19" s="131">
        <v>1.4</v>
      </c>
      <c r="L19" s="131">
        <v>2.1</v>
      </c>
      <c r="M19" s="131">
        <v>2.8</v>
      </c>
      <c r="N19" s="131">
        <v>3.5</v>
      </c>
    </row>
    <row r="20" spans="1:14" ht="14.25">
      <c r="A20" s="79" t="s">
        <v>230</v>
      </c>
      <c r="B20" s="80"/>
      <c r="C20" s="81" t="s">
        <v>170</v>
      </c>
      <c r="D20" s="145">
        <v>0.0273</v>
      </c>
      <c r="E20" s="146">
        <v>0.0551</v>
      </c>
      <c r="F20" s="145">
        <v>0.0855</v>
      </c>
      <c r="G20" s="145">
        <v>0.1083</v>
      </c>
      <c r="H20" s="145">
        <v>0.123</v>
      </c>
      <c r="I20" s="145">
        <v>0.1293</v>
      </c>
      <c r="J20" s="145">
        <v>0.1263</v>
      </c>
      <c r="K20" s="145">
        <v>0.1173</v>
      </c>
      <c r="L20" s="145">
        <v>0.095</v>
      </c>
      <c r="M20" s="145">
        <v>0.0607</v>
      </c>
      <c r="N20" s="145">
        <v>0.0122</v>
      </c>
    </row>
    <row r="21" spans="1:14" ht="12.75">
      <c r="A21" s="79" t="s">
        <v>231</v>
      </c>
      <c r="B21" s="80"/>
      <c r="C21" s="81" t="s">
        <v>56</v>
      </c>
      <c r="D21" s="145">
        <v>0.176</v>
      </c>
      <c r="E21" s="146">
        <v>0.191</v>
      </c>
      <c r="F21" s="145">
        <v>0.185</v>
      </c>
      <c r="G21" s="145">
        <v>0.177</v>
      </c>
      <c r="H21" s="145">
        <v>0.172</v>
      </c>
      <c r="I21" s="145">
        <v>0.17</v>
      </c>
      <c r="J21" s="145">
        <v>0.169</v>
      </c>
      <c r="K21" s="145">
        <v>0.168</v>
      </c>
      <c r="L21" s="145">
        <v>0.168</v>
      </c>
      <c r="M21" s="145">
        <v>0.166</v>
      </c>
      <c r="N21" s="145">
        <v>0.149</v>
      </c>
    </row>
    <row r="22" spans="1:14" ht="15.75">
      <c r="A22" s="82" t="s">
        <v>229</v>
      </c>
      <c r="B22" s="83"/>
      <c r="C22" s="84"/>
      <c r="D22" s="85" t="s">
        <v>245</v>
      </c>
      <c r="E22" s="86">
        <f>(J19-I19)*(0.5*D20+E20+F20+G20+H20+I20+J20+K20+L20+M20+0.5*N20)</f>
        <v>0.6441749999999999</v>
      </c>
      <c r="F22" s="87" t="s">
        <v>174</v>
      </c>
      <c r="G22" s="88"/>
      <c r="I22" t="s">
        <v>241</v>
      </c>
      <c r="L22" t="s">
        <v>243</v>
      </c>
      <c r="M22" s="132">
        <v>0.4</v>
      </c>
      <c r="N22" t="s">
        <v>56</v>
      </c>
    </row>
    <row r="23" spans="1:14" ht="15.75">
      <c r="A23" s="89" t="s">
        <v>239</v>
      </c>
      <c r="B23" s="90"/>
      <c r="C23" s="81"/>
      <c r="D23" s="1" t="s">
        <v>246</v>
      </c>
      <c r="E23" s="147">
        <v>1.59654</v>
      </c>
      <c r="F23" s="80" t="s">
        <v>170</v>
      </c>
      <c r="G23" s="81"/>
      <c r="I23" t="s">
        <v>260</v>
      </c>
      <c r="L23" t="s">
        <v>266</v>
      </c>
      <c r="M23" s="132">
        <v>0</v>
      </c>
      <c r="N23" t="s">
        <v>56</v>
      </c>
    </row>
    <row r="24" spans="1:14" ht="15.75">
      <c r="A24" s="92" t="s">
        <v>235</v>
      </c>
      <c r="B24" s="93"/>
      <c r="C24" s="94"/>
      <c r="D24" s="95" t="s">
        <v>247</v>
      </c>
      <c r="E24" s="91">
        <f>(J19-I19)*(0.5*D20*D21+E20*E21+F20*F21+G20*G21+H20*H21+I20*I21+J20*J21+K20*K21+L20*L21+M20*M21+0.5*N20*N21)</f>
        <v>0.11133240999999999</v>
      </c>
      <c r="F24" s="80" t="s">
        <v>248</v>
      </c>
      <c r="G24" s="81"/>
      <c r="I24" t="s">
        <v>244</v>
      </c>
      <c r="L24" t="s">
        <v>249</v>
      </c>
      <c r="M24" s="23">
        <f>M22-E26</f>
        <v>0.22717055148057594</v>
      </c>
      <c r="N24" t="s">
        <v>56</v>
      </c>
    </row>
    <row r="25" spans="1:14" ht="15.75">
      <c r="A25" s="96"/>
      <c r="B25" s="97"/>
      <c r="C25" s="98"/>
      <c r="D25" s="95" t="s">
        <v>250</v>
      </c>
      <c r="E25" s="91">
        <f>(J19-I19)*(J19-I19)*(-2.5*D20-4*E20-3*F20-2*G20-H20+J20+2*K20+3*L20+4*M20+2.5*N20)</f>
        <v>0.01688049999999999</v>
      </c>
      <c r="F25" s="80" t="s">
        <v>251</v>
      </c>
      <c r="G25" s="81"/>
      <c r="I25" s="58" t="s">
        <v>242</v>
      </c>
      <c r="L25" t="s">
        <v>252</v>
      </c>
      <c r="M25" s="69">
        <f>E26+E30-M22</f>
        <v>-0.09742320021733225</v>
      </c>
      <c r="N25" t="s">
        <v>56</v>
      </c>
    </row>
    <row r="26" spans="1:14" ht="15.75">
      <c r="A26" s="92" t="s">
        <v>233</v>
      </c>
      <c r="B26" s="93"/>
      <c r="C26" s="94"/>
      <c r="D26" s="95" t="s">
        <v>253</v>
      </c>
      <c r="E26" s="91">
        <f>E24/E22</f>
        <v>0.17282944851942408</v>
      </c>
      <c r="F26" s="99" t="s">
        <v>234</v>
      </c>
      <c r="G26" s="81"/>
      <c r="I26" t="s">
        <v>261</v>
      </c>
      <c r="L26" t="s">
        <v>267</v>
      </c>
      <c r="M26" s="63">
        <f>E22*(M23-E27)</f>
        <v>-0.01688049999999999</v>
      </c>
      <c r="N26" t="s">
        <v>262</v>
      </c>
    </row>
    <row r="27" spans="1:14" ht="15.75">
      <c r="A27" s="96"/>
      <c r="B27" s="97"/>
      <c r="C27" s="98"/>
      <c r="D27" s="95" t="s">
        <v>254</v>
      </c>
      <c r="E27" s="91">
        <f>E25/E22</f>
        <v>0.02620483564248844</v>
      </c>
      <c r="F27" s="99" t="s">
        <v>240</v>
      </c>
      <c r="G27" s="81"/>
      <c r="I27" s="76" t="s">
        <v>263</v>
      </c>
      <c r="L27" t="s">
        <v>268</v>
      </c>
      <c r="N27" t="s">
        <v>56</v>
      </c>
    </row>
    <row r="28" spans="1:6" ht="15.75">
      <c r="A28" s="92" t="s">
        <v>236</v>
      </c>
      <c r="B28" s="93"/>
      <c r="C28" s="94"/>
      <c r="D28" s="95" t="s">
        <v>255</v>
      </c>
      <c r="E28" s="147">
        <v>0.08358</v>
      </c>
      <c r="F28" s="81" t="s">
        <v>256</v>
      </c>
    </row>
    <row r="29" spans="1:6" ht="15.75">
      <c r="A29" s="96"/>
      <c r="B29" s="97"/>
      <c r="C29" s="98"/>
      <c r="D29" s="95" t="s">
        <v>257</v>
      </c>
      <c r="E29" s="147">
        <v>0.50165</v>
      </c>
      <c r="F29" s="81" t="s">
        <v>256</v>
      </c>
    </row>
    <row r="30" spans="1:6" ht="15.75">
      <c r="A30" s="79" t="s">
        <v>237</v>
      </c>
      <c r="B30" s="80"/>
      <c r="C30" s="81"/>
      <c r="D30" s="95" t="s">
        <v>258</v>
      </c>
      <c r="E30" s="91">
        <f>E28/E22</f>
        <v>0.1297473512632437</v>
      </c>
      <c r="F30" s="81" t="s">
        <v>56</v>
      </c>
    </row>
    <row r="31" spans="1:6" ht="15.75">
      <c r="A31" s="100" t="s">
        <v>238</v>
      </c>
      <c r="B31" s="80"/>
      <c r="C31" s="81"/>
      <c r="D31" s="95" t="s">
        <v>259</v>
      </c>
      <c r="E31" s="91">
        <f>E29/E22</f>
        <v>0.7787480110218498</v>
      </c>
      <c r="F31" s="81" t="s">
        <v>56</v>
      </c>
    </row>
    <row r="32" spans="1:6" ht="12.75">
      <c r="A32" s="101"/>
      <c r="B32" s="97"/>
      <c r="C32" s="97"/>
      <c r="D32" s="102"/>
      <c r="E32" s="103"/>
      <c r="F32" s="97"/>
    </row>
    <row r="33" spans="1:14" ht="12.75">
      <c r="A33" s="104" t="s">
        <v>310</v>
      </c>
      <c r="B33" s="13"/>
      <c r="C33" s="13"/>
      <c r="D33" s="13"/>
      <c r="E33" s="75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05" t="s">
        <v>309</v>
      </c>
      <c r="B34" s="77"/>
      <c r="C34" s="144">
        <v>1</v>
      </c>
      <c r="D34" s="54">
        <v>0</v>
      </c>
      <c r="E34" s="78">
        <v>1</v>
      </c>
      <c r="F34" s="54">
        <v>2</v>
      </c>
      <c r="G34" s="54">
        <v>3</v>
      </c>
      <c r="H34" s="54">
        <v>4</v>
      </c>
      <c r="I34" s="54">
        <v>5</v>
      </c>
      <c r="J34" s="54">
        <v>6</v>
      </c>
      <c r="K34" s="54">
        <v>7</v>
      </c>
      <c r="L34" s="54">
        <v>8</v>
      </c>
      <c r="M34" s="54">
        <v>9</v>
      </c>
      <c r="N34" s="54">
        <v>10</v>
      </c>
    </row>
    <row r="35" spans="1:14" ht="12.75">
      <c r="A35" s="79" t="s">
        <v>232</v>
      </c>
      <c r="B35" s="80"/>
      <c r="C35" s="81" t="s">
        <v>56</v>
      </c>
      <c r="D35" s="131">
        <v>-3.5</v>
      </c>
      <c r="E35" s="131">
        <v>-2.8</v>
      </c>
      <c r="F35" s="131">
        <v>-2.1</v>
      </c>
      <c r="G35" s="131">
        <v>-1.4</v>
      </c>
      <c r="H35" s="131">
        <v>-0.7</v>
      </c>
      <c r="I35" s="131">
        <v>0</v>
      </c>
      <c r="J35" s="131">
        <v>0.7</v>
      </c>
      <c r="K35" s="131">
        <v>1.4</v>
      </c>
      <c r="L35" s="131">
        <v>2.1</v>
      </c>
      <c r="M35" s="131">
        <v>2.8</v>
      </c>
      <c r="N35" s="131">
        <v>3.5</v>
      </c>
    </row>
    <row r="36" spans="1:14" ht="14.25">
      <c r="A36" s="79" t="s">
        <v>230</v>
      </c>
      <c r="B36" s="80"/>
      <c r="C36" s="81" t="s">
        <v>170</v>
      </c>
      <c r="D36" s="145">
        <v>0.0273</v>
      </c>
      <c r="E36" s="146">
        <v>0.0551</v>
      </c>
      <c r="F36" s="145">
        <v>0.0855</v>
      </c>
      <c r="G36" s="145">
        <v>0.1083</v>
      </c>
      <c r="H36" s="145">
        <v>0.123</v>
      </c>
      <c r="I36" s="145">
        <v>0.1293</v>
      </c>
      <c r="J36" s="145">
        <v>0.1263</v>
      </c>
      <c r="K36" s="145">
        <v>0.1173</v>
      </c>
      <c r="L36" s="145">
        <v>0.095</v>
      </c>
      <c r="M36" s="145">
        <v>0.0607</v>
      </c>
      <c r="N36" s="145">
        <v>0.0122</v>
      </c>
    </row>
    <row r="37" spans="1:14" ht="12.75">
      <c r="A37" s="79" t="s">
        <v>231</v>
      </c>
      <c r="B37" s="80"/>
      <c r="C37" s="81" t="s">
        <v>56</v>
      </c>
      <c r="D37" s="145">
        <v>0.176</v>
      </c>
      <c r="E37" s="146">
        <v>0.191</v>
      </c>
      <c r="F37" s="145">
        <v>0.185</v>
      </c>
      <c r="G37" s="145">
        <v>0.177</v>
      </c>
      <c r="H37" s="145">
        <v>0.172</v>
      </c>
      <c r="I37" s="145">
        <v>0.17</v>
      </c>
      <c r="J37" s="145">
        <v>0.169</v>
      </c>
      <c r="K37" s="145">
        <v>0.168</v>
      </c>
      <c r="L37" s="145">
        <v>0.168</v>
      </c>
      <c r="M37" s="145">
        <v>0.166</v>
      </c>
      <c r="N37" s="145">
        <v>0.149</v>
      </c>
    </row>
    <row r="38" spans="1:14" ht="15.75">
      <c r="A38" s="82" t="s">
        <v>229</v>
      </c>
      <c r="B38" s="83"/>
      <c r="C38" s="84"/>
      <c r="D38" s="85" t="s">
        <v>245</v>
      </c>
      <c r="E38" s="86">
        <f>(J35-I35)*(0.5*D36+E36+F36+G36+H36+I36+J36+K36+L36+M36+0.5*N36)</f>
        <v>0.6441749999999999</v>
      </c>
      <c r="F38" s="87" t="s">
        <v>174</v>
      </c>
      <c r="G38" s="88"/>
      <c r="I38" t="s">
        <v>241</v>
      </c>
      <c r="L38" t="s">
        <v>243</v>
      </c>
      <c r="M38" s="132">
        <v>0.4</v>
      </c>
      <c r="N38" t="s">
        <v>56</v>
      </c>
    </row>
    <row r="39" spans="1:14" ht="15.75">
      <c r="A39" s="89" t="s">
        <v>239</v>
      </c>
      <c r="B39" s="90"/>
      <c r="C39" s="81"/>
      <c r="D39" s="1" t="s">
        <v>246</v>
      </c>
      <c r="E39" s="147">
        <v>1.59654</v>
      </c>
      <c r="F39" s="80" t="s">
        <v>170</v>
      </c>
      <c r="G39" s="81"/>
      <c r="I39" t="s">
        <v>260</v>
      </c>
      <c r="L39" t="s">
        <v>266</v>
      </c>
      <c r="M39" s="132">
        <v>0</v>
      </c>
      <c r="N39" t="s">
        <v>56</v>
      </c>
    </row>
    <row r="40" spans="1:14" ht="15.75">
      <c r="A40" s="92" t="s">
        <v>235</v>
      </c>
      <c r="B40" s="93"/>
      <c r="C40" s="94"/>
      <c r="D40" s="95" t="s">
        <v>247</v>
      </c>
      <c r="E40" s="91">
        <f>(J35-I35)*(0.5*D36*D37+E36*E37+F36*F37+G36*G37+H36*H37+I36*I37+J36*J37+K36*K37+L36*L37+M36*M37+0.5*N36*N37)</f>
        <v>0.11133240999999999</v>
      </c>
      <c r="F40" s="80" t="s">
        <v>248</v>
      </c>
      <c r="G40" s="81"/>
      <c r="I40" t="s">
        <v>244</v>
      </c>
      <c r="L40" t="s">
        <v>249</v>
      </c>
      <c r="M40" s="23">
        <f>M38-E42</f>
        <v>0.22717055148057594</v>
      </c>
      <c r="N40" t="s">
        <v>56</v>
      </c>
    </row>
    <row r="41" spans="1:14" ht="15.75">
      <c r="A41" s="96"/>
      <c r="B41" s="97"/>
      <c r="C41" s="98"/>
      <c r="D41" s="95" t="s">
        <v>250</v>
      </c>
      <c r="E41" s="91">
        <f>(J35-I35)*(J35-I35)*(-2.5*D36-4*E36-3*F36-2*G36-H36+J36+2*K36+3*L36+4*M36+2.5*N36)</f>
        <v>0.01688049999999999</v>
      </c>
      <c r="F41" s="80" t="s">
        <v>251</v>
      </c>
      <c r="G41" s="81"/>
      <c r="I41" s="58" t="s">
        <v>242</v>
      </c>
      <c r="L41" t="s">
        <v>252</v>
      </c>
      <c r="M41" s="69">
        <f>E42+E46-M38</f>
        <v>-0.09742320021733225</v>
      </c>
      <c r="N41" t="s">
        <v>56</v>
      </c>
    </row>
    <row r="42" spans="1:14" ht="15.75">
      <c r="A42" s="92" t="s">
        <v>233</v>
      </c>
      <c r="B42" s="93"/>
      <c r="C42" s="94"/>
      <c r="D42" s="95" t="s">
        <v>253</v>
      </c>
      <c r="E42" s="91">
        <f>E40/E38</f>
        <v>0.17282944851942408</v>
      </c>
      <c r="F42" s="99" t="s">
        <v>234</v>
      </c>
      <c r="G42" s="81"/>
      <c r="I42" t="s">
        <v>261</v>
      </c>
      <c r="L42" t="s">
        <v>267</v>
      </c>
      <c r="M42" s="63">
        <f>E38*(M39-E43)</f>
        <v>-0.01688049999999999</v>
      </c>
      <c r="N42" t="s">
        <v>262</v>
      </c>
    </row>
    <row r="43" spans="1:14" ht="15.75">
      <c r="A43" s="96"/>
      <c r="B43" s="97"/>
      <c r="C43" s="98"/>
      <c r="D43" s="95" t="s">
        <v>254</v>
      </c>
      <c r="E43" s="91">
        <f>E41/E38</f>
        <v>0.02620483564248844</v>
      </c>
      <c r="F43" s="99" t="s">
        <v>240</v>
      </c>
      <c r="G43" s="81"/>
      <c r="I43" s="76" t="s">
        <v>263</v>
      </c>
      <c r="L43" t="s">
        <v>268</v>
      </c>
      <c r="N43" t="s">
        <v>56</v>
      </c>
    </row>
    <row r="44" spans="1:6" ht="15.75">
      <c r="A44" s="92" t="s">
        <v>236</v>
      </c>
      <c r="B44" s="93"/>
      <c r="C44" s="94"/>
      <c r="D44" s="95" t="s">
        <v>255</v>
      </c>
      <c r="E44" s="147">
        <v>0.08358</v>
      </c>
      <c r="F44" s="81" t="s">
        <v>256</v>
      </c>
    </row>
    <row r="45" spans="1:6" ht="15.75">
      <c r="A45" s="96"/>
      <c r="B45" s="97"/>
      <c r="C45" s="98"/>
      <c r="D45" s="95" t="s">
        <v>257</v>
      </c>
      <c r="E45" s="147">
        <v>0.50165</v>
      </c>
      <c r="F45" s="81" t="s">
        <v>256</v>
      </c>
    </row>
    <row r="46" spans="1:6" ht="15.75">
      <c r="A46" s="79" t="s">
        <v>237</v>
      </c>
      <c r="B46" s="80"/>
      <c r="C46" s="81"/>
      <c r="D46" s="95" t="s">
        <v>258</v>
      </c>
      <c r="E46" s="91">
        <f>E44/E38</f>
        <v>0.1297473512632437</v>
      </c>
      <c r="F46" s="81" t="s">
        <v>56</v>
      </c>
    </row>
    <row r="47" spans="1:6" ht="15.75">
      <c r="A47" s="100" t="s">
        <v>238</v>
      </c>
      <c r="B47" s="80"/>
      <c r="C47" s="81"/>
      <c r="D47" s="95" t="s">
        <v>259</v>
      </c>
      <c r="E47" s="91">
        <f>E45/E38</f>
        <v>0.7787480110218498</v>
      </c>
      <c r="F47" s="81" t="s">
        <v>56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22" customWidth="1"/>
    <col min="2" max="7" width="14.7109375" style="23" customWidth="1"/>
    <col min="8" max="16384" width="9.140625" style="23" customWidth="1"/>
  </cols>
  <sheetData>
    <row r="1" spans="1:17" s="5" customFormat="1" ht="26.25" customHeight="1">
      <c r="A1" s="24" t="s">
        <v>28</v>
      </c>
      <c r="B1" s="4"/>
      <c r="C1" s="4"/>
      <c r="D1" s="4"/>
      <c r="E1" s="4"/>
      <c r="F1" s="4"/>
      <c r="G1" s="4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7" ht="12.75">
      <c r="A2" s="50"/>
      <c r="B2" s="51" t="s">
        <v>47</v>
      </c>
      <c r="C2" s="7" t="s">
        <v>48</v>
      </c>
      <c r="D2" s="7" t="s">
        <v>49</v>
      </c>
      <c r="E2" s="7" t="s">
        <v>50</v>
      </c>
      <c r="F2" s="7" t="s">
        <v>51</v>
      </c>
      <c r="G2" s="7" t="s">
        <v>52</v>
      </c>
    </row>
    <row r="3" spans="1:7" ht="12.75">
      <c r="A3" s="50" t="s">
        <v>21</v>
      </c>
      <c r="B3" s="52"/>
      <c r="C3" s="7"/>
      <c r="D3" s="7"/>
      <c r="E3" s="7"/>
      <c r="F3" s="7"/>
      <c r="G3" s="7"/>
    </row>
    <row r="4" spans="1:7" ht="12.75">
      <c r="A4" s="53" t="s">
        <v>22</v>
      </c>
      <c r="B4" s="54"/>
      <c r="C4" s="54"/>
      <c r="D4" s="54"/>
      <c r="E4" s="54"/>
      <c r="F4" s="54"/>
      <c r="G4" s="54"/>
    </row>
    <row r="5" spans="1:7" ht="12.75">
      <c r="A5" s="53" t="s">
        <v>26</v>
      </c>
      <c r="B5" s="55"/>
      <c r="C5" s="54"/>
      <c r="D5" s="54"/>
      <c r="E5" s="54"/>
      <c r="F5" s="54"/>
      <c r="G5" s="54"/>
    </row>
    <row r="6" spans="1:7" ht="12.75">
      <c r="A6" s="53" t="s">
        <v>23</v>
      </c>
      <c r="B6" s="54"/>
      <c r="C6" s="54"/>
      <c r="D6" s="54"/>
      <c r="E6" s="54"/>
      <c r="F6" s="54"/>
      <c r="G6" s="54"/>
    </row>
    <row r="7" spans="1:7" ht="12.75">
      <c r="A7" s="53" t="s">
        <v>24</v>
      </c>
      <c r="B7" s="56"/>
      <c r="C7" s="56"/>
      <c r="D7" s="56"/>
      <c r="E7" s="56"/>
      <c r="F7" s="56"/>
      <c r="G7" s="56"/>
    </row>
    <row r="8" spans="1:7" ht="12.75">
      <c r="A8" s="57" t="s">
        <v>25</v>
      </c>
      <c r="B8" s="56"/>
      <c r="C8" s="56"/>
      <c r="D8" s="56"/>
      <c r="E8" s="56"/>
      <c r="F8" s="56"/>
      <c r="G8" s="56"/>
    </row>
  </sheetData>
  <printOptions/>
  <pageMargins left="0.75" right="0.75" top="1" bottom="1" header="0.5" footer="0.5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Komáromi József</dc:creator>
  <cp:keywords/>
  <dc:description/>
  <cp:lastModifiedBy>jozsibacsi</cp:lastModifiedBy>
  <cp:lastPrinted>2013-11-26T08:56:07Z</cp:lastPrinted>
  <dcterms:created xsi:type="dcterms:W3CDTF">2006-07-12T11:48:50Z</dcterms:created>
  <dcterms:modified xsi:type="dcterms:W3CDTF">2013-11-26T08:57:22Z</dcterms:modified>
  <cp:category/>
  <cp:version/>
  <cp:contentType/>
  <cp:contentStatus/>
</cp:coreProperties>
</file>